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75" yWindow="0" windowWidth="12120" windowHeight="8550" tabRatio="729"/>
  </bookViews>
  <sheets>
    <sheet name="Ejemplo" sheetId="112" r:id="rId1"/>
  </sheets>
  <externalReferences>
    <externalReference r:id="rId2"/>
    <externalReference r:id="rId3"/>
  </externalReferences>
  <definedNames>
    <definedName name="_xlnm.Print_Area" localSheetId="0">Ejemplo!$A$13:$U$308</definedName>
    <definedName name="_xlnm.Print_Titles" localSheetId="0">Ejemplo!$13:$19</definedName>
    <definedName name="solver_adj" localSheetId="0" hidden="1">Ejemplo!$P$184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Ejemplo!$X$184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0.001</definedName>
  </definedNames>
  <calcPr calcId="125725"/>
</workbook>
</file>

<file path=xl/calcChain.xml><?xml version="1.0" encoding="utf-8"?>
<calcChain xmlns="http://schemas.openxmlformats.org/spreadsheetml/2006/main">
  <c r="M184" i="112"/>
  <c r="E184"/>
  <c r="F254"/>
  <c r="G195"/>
  <c r="M185"/>
  <c r="E185"/>
  <c r="D185"/>
  <c r="D184"/>
  <c r="S294"/>
  <c r="S293"/>
  <c r="S292"/>
  <c r="S114"/>
  <c r="S113"/>
  <c r="G161"/>
  <c r="J161" s="1"/>
  <c r="H249"/>
  <c r="L249" s="1"/>
  <c r="H153"/>
  <c r="L153" s="1"/>
  <c r="Q248"/>
  <c r="Q249" s="1"/>
  <c r="H248"/>
  <c r="L248" s="1"/>
  <c r="G185"/>
  <c r="G184"/>
  <c r="F177"/>
  <c r="F175"/>
  <c r="R175" s="1"/>
  <c r="M166"/>
  <c r="K166"/>
  <c r="C166"/>
  <c r="E160"/>
  <c r="G160" s="1"/>
  <c r="J160" s="1"/>
  <c r="Q152"/>
  <c r="Q153" s="1"/>
  <c r="H152"/>
  <c r="L152" s="1"/>
  <c r="F184"/>
  <c r="N152"/>
  <c r="N153" s="1"/>
  <c r="S295"/>
  <c r="S303" s="1"/>
  <c r="F185"/>
  <c r="R172" s="1"/>
  <c r="I184" l="1"/>
  <c r="P184" s="1"/>
  <c r="R184" s="1"/>
  <c r="F171" s="1"/>
  <c r="F173" s="1"/>
  <c r="I185"/>
  <c r="P185" s="1"/>
  <c r="R185" s="1"/>
  <c r="R171" s="1"/>
  <c r="R152"/>
  <c r="G191" s="1"/>
  <c r="G199"/>
  <c r="G269" s="1"/>
  <c r="E159"/>
  <c r="R153"/>
  <c r="S152" l="1"/>
  <c r="E161"/>
  <c r="S153"/>
  <c r="G196" s="1"/>
  <c r="M177"/>
  <c r="G200"/>
  <c r="G270" s="1"/>
  <c r="R173"/>
  <c r="M159"/>
  <c r="P166" s="1"/>
  <c r="Q257" s="1"/>
  <c r="G159"/>
  <c r="J159" l="1"/>
  <c r="R166"/>
  <c r="E254"/>
  <c r="F179"/>
  <c r="J254"/>
  <c r="R177"/>
  <c r="E162"/>
  <c r="G162" s="1"/>
  <c r="J162" s="1"/>
  <c r="E166"/>
  <c r="F166" l="1"/>
  <c r="S160" s="1"/>
  <c r="S159"/>
  <c r="G265"/>
  <c r="L254"/>
  <c r="S162"/>
  <c r="S257"/>
  <c r="H254" s="1"/>
  <c r="R179"/>
  <c r="M231" l="1"/>
  <c r="G263" s="1"/>
  <c r="G193"/>
  <c r="G197"/>
  <c r="G198" s="1"/>
  <c r="G192"/>
  <c r="S161"/>
  <c r="M233" l="1"/>
  <c r="D254"/>
  <c r="G264"/>
  <c r="N249" s="1"/>
  <c r="R249" s="1"/>
  <c r="S249" s="1"/>
  <c r="N248"/>
  <c r="R248" s="1"/>
  <c r="S248" s="1"/>
  <c r="G266" s="1"/>
  <c r="G201"/>
  <c r="G271" s="1"/>
  <c r="G202"/>
  <c r="G272" s="1"/>
  <c r="Q286" l="1"/>
  <c r="Q287" s="1"/>
  <c r="G268"/>
  <c r="G267" s="1"/>
  <c r="G262" s="1"/>
  <c r="G273" s="1"/>
  <c r="Q281" l="1"/>
  <c r="S300"/>
  <c r="S301" s="1"/>
  <c r="Q282" l="1"/>
  <c r="S305"/>
</calcChain>
</file>

<file path=xl/sharedStrings.xml><?xml version="1.0" encoding="utf-8"?>
<sst xmlns="http://schemas.openxmlformats.org/spreadsheetml/2006/main" count="533" uniqueCount="362">
  <si>
    <t>HP</t>
  </si>
  <si>
    <t>V</t>
  </si>
  <si>
    <t xml:space="preserve"> </t>
  </si>
  <si>
    <t>RPM</t>
  </si>
  <si>
    <t>kW</t>
  </si>
  <si>
    <t>NO</t>
  </si>
  <si>
    <t>kVA</t>
  </si>
  <si>
    <t>kVAr</t>
  </si>
  <si>
    <t>A</t>
  </si>
  <si>
    <t>Frame:</t>
  </si>
  <si>
    <t>Material:</t>
  </si>
  <si>
    <t>m</t>
  </si>
  <si>
    <t>Temp.:</t>
  </si>
  <si>
    <t>Ia:</t>
  </si>
  <si>
    <t>Ib:</t>
  </si>
  <si>
    <t>Ic:</t>
  </si>
  <si>
    <t>Pa:</t>
  </si>
  <si>
    <t>Pb:</t>
  </si>
  <si>
    <t>Pc:</t>
  </si>
  <si>
    <t>FPb:</t>
  </si>
  <si>
    <t>FPc:</t>
  </si>
  <si>
    <t>m/s</t>
  </si>
  <si>
    <t>Ω</t>
  </si>
  <si>
    <t>B</t>
  </si>
  <si>
    <t>C</t>
  </si>
  <si>
    <t>X1</t>
  </si>
  <si>
    <t>X0</t>
  </si>
  <si>
    <t>X2</t>
  </si>
  <si>
    <t>X3</t>
  </si>
  <si>
    <t>MOTOR</t>
  </si>
  <si>
    <t>THD-V</t>
  </si>
  <si>
    <t>THD-I</t>
  </si>
  <si>
    <t>Ω/km</t>
  </si>
  <si>
    <t>V/Vn</t>
  </si>
  <si>
    <t>Reynolds</t>
  </si>
  <si>
    <t>mm</t>
  </si>
  <si>
    <t>mca</t>
  </si>
  <si>
    <t>kWh/año</t>
  </si>
  <si>
    <t>años</t>
  </si>
  <si>
    <t>FC</t>
  </si>
  <si>
    <t>Efic. Nom</t>
  </si>
  <si>
    <t>Efic. 75%</t>
  </si>
  <si>
    <t>Efic 100%</t>
  </si>
  <si>
    <t>FA ant</t>
  </si>
  <si>
    <t>FA rew</t>
  </si>
  <si>
    <t>FA vv</t>
  </si>
  <si>
    <t>FA dv</t>
  </si>
  <si>
    <t>Q</t>
  </si>
  <si>
    <t>v</t>
  </si>
  <si>
    <t>Visco</t>
  </si>
  <si>
    <t>fr</t>
  </si>
  <si>
    <t>Hfr</t>
  </si>
  <si>
    <t>%</t>
  </si>
  <si>
    <t xml:space="preserve">kW </t>
  </si>
  <si>
    <t>a).</t>
  </si>
  <si>
    <t>b).</t>
  </si>
  <si>
    <t>c).</t>
  </si>
  <si>
    <t>d).</t>
  </si>
  <si>
    <t>e).</t>
  </si>
  <si>
    <t>i.</t>
  </si>
  <si>
    <t>ii.</t>
  </si>
  <si>
    <t>Total:</t>
  </si>
  <si>
    <t>BHP</t>
  </si>
  <si>
    <t>iii.</t>
  </si>
  <si>
    <t>HP propuesto</t>
  </si>
  <si>
    <t>Goulds</t>
  </si>
  <si>
    <t>MOELLER ELECTRIC</t>
  </si>
  <si>
    <t>iv.</t>
  </si>
  <si>
    <t>Material</t>
  </si>
  <si>
    <t>37 A</t>
  </si>
  <si>
    <t>rpm</t>
  </si>
  <si>
    <t>TOTAL:</t>
  </si>
  <si>
    <t>Van:</t>
  </si>
  <si>
    <t>Vbn:</t>
  </si>
  <si>
    <t>DIAGNÓSTICO ENERGÉTICO A EQUIPOS DE BOMBEO</t>
  </si>
  <si>
    <t>24 DE MARZO DE 2009</t>
  </si>
  <si>
    <t>SUMINISTRO ELÉCTRICO:</t>
  </si>
  <si>
    <t>Suministrador:</t>
  </si>
  <si>
    <t>CFE</t>
  </si>
  <si>
    <t>No. de Servicio:</t>
  </si>
  <si>
    <t>O6</t>
  </si>
  <si>
    <t>TRANSFORMADOR:</t>
  </si>
  <si>
    <t>Tipo:</t>
  </si>
  <si>
    <t>OA COSTA</t>
  </si>
  <si>
    <t>Capacidad:</t>
  </si>
  <si>
    <t>Rel. de transf.:</t>
  </si>
  <si>
    <t>V.</t>
  </si>
  <si>
    <t>SIEMENS</t>
  </si>
  <si>
    <t>Ajuste:</t>
  </si>
  <si>
    <t>RÁPIDO</t>
  </si>
  <si>
    <t>ARRANCADOR:</t>
  </si>
  <si>
    <t>ATP111-12</t>
  </si>
  <si>
    <t>Transformador - Arrancador</t>
  </si>
  <si>
    <t>Calibre:</t>
  </si>
  <si>
    <t>1HXF-4/0AWG</t>
  </si>
  <si>
    <t>Longitud:</t>
  </si>
  <si>
    <t>Agrupamiento:</t>
  </si>
  <si>
    <t>C-3H+N-8</t>
  </si>
  <si>
    <t>Arrancador - Motor</t>
  </si>
  <si>
    <t>SISTEMA DE TIERRAS</t>
  </si>
  <si>
    <r>
      <t>SI</t>
    </r>
    <r>
      <rPr>
        <sz val="10"/>
        <rFont val="Calibri"/>
        <family val="2"/>
      </rPr>
      <t>↙</t>
    </r>
  </si>
  <si>
    <t>SI</t>
  </si>
  <si>
    <r>
      <t>NO</t>
    </r>
    <r>
      <rPr>
        <sz val="10"/>
        <rFont val="Calibri"/>
        <family val="2"/>
      </rPr>
      <t>↙</t>
    </r>
  </si>
  <si>
    <t>-</t>
  </si>
  <si>
    <t>OBSERVACIONES:</t>
  </si>
  <si>
    <t>1.1.  SISTEMA ELÉCTRICO</t>
  </si>
  <si>
    <t xml:space="preserve">1.2 MOTOR ELÉCTRICO </t>
  </si>
  <si>
    <t>DATOS DE PLACA o NOMINALES:</t>
  </si>
  <si>
    <t>Marca:</t>
  </si>
  <si>
    <t>Saers</t>
  </si>
  <si>
    <t>Tensión:</t>
  </si>
  <si>
    <t>Sumergible</t>
  </si>
  <si>
    <t>Corriente:</t>
  </si>
  <si>
    <t>Velocidad:</t>
  </si>
  <si>
    <t>Eficiencia:</t>
  </si>
  <si>
    <t>F.S.</t>
  </si>
  <si>
    <t>HISTORIAL:</t>
  </si>
  <si>
    <t>Antigüedad:</t>
  </si>
  <si>
    <t>Operación:</t>
  </si>
  <si>
    <t># de rebobinados:</t>
  </si>
  <si>
    <t xml:space="preserve">1.3 BOMBA </t>
  </si>
  <si>
    <t>Grundfoss</t>
  </si>
  <si>
    <t>Cerrado</t>
  </si>
  <si>
    <t>A. Inox.</t>
  </si>
  <si>
    <t>Modelo:</t>
  </si>
  <si>
    <t>Diámetro:</t>
  </si>
  <si>
    <t>FLECHA:</t>
  </si>
  <si>
    <t>DATOS DE DISEÑO:</t>
  </si>
  <si>
    <t>Carga:</t>
  </si>
  <si>
    <t>m.c.a.</t>
  </si>
  <si>
    <t>Gasto:</t>
  </si>
  <si>
    <t>Agua</t>
  </si>
  <si>
    <r>
      <rPr>
        <sz val="10"/>
        <rFont val="Calibri"/>
        <family val="2"/>
      </rPr>
      <t>°</t>
    </r>
    <r>
      <rPr>
        <sz val="11"/>
        <rFont val="Arial"/>
        <family val="2"/>
      </rPr>
      <t>C</t>
    </r>
  </si>
  <si>
    <t xml:space="preserve"> kg/m³</t>
  </si>
  <si>
    <t xml:space="preserve">1.4 CARACTERÍSTICAS DEL FLUIDO </t>
  </si>
  <si>
    <t>2.1  MEDICIONES HIDRÁULICAS</t>
  </si>
  <si>
    <t>NIVELES:</t>
  </si>
  <si>
    <t>Nivel del depósito de succión  (A):</t>
  </si>
  <si>
    <t>Longitud de tubería en succión (B):</t>
  </si>
  <si>
    <t>Distancia  descarga a manómetro (C):</t>
  </si>
  <si>
    <t>Altura manómetro de descarga (D):</t>
  </si>
  <si>
    <t>Succión</t>
  </si>
  <si>
    <t>A.C.-C40</t>
  </si>
  <si>
    <t>Descarga</t>
  </si>
  <si>
    <t>2.2  MEDICIONES ELÉCTRICAS</t>
  </si>
  <si>
    <t>TENSIÓN POR FASE:</t>
  </si>
  <si>
    <t>CORRIENTE POR FASE:</t>
  </si>
  <si>
    <t>POTENCIA ACTIVA:</t>
  </si>
  <si>
    <t>FACTOR DE POTENCIA</t>
  </si>
  <si>
    <t>DISTORSIÓN ARMÓNICA:</t>
  </si>
  <si>
    <t>CORRIENTE DEL CAPACITOR:</t>
  </si>
  <si>
    <t>SISTEMA DE TIERRA:</t>
  </si>
  <si>
    <t>Continuidad:</t>
  </si>
  <si>
    <t>Resistencia:</t>
  </si>
  <si>
    <t>2.3  MEDICIONES DE TEMPERATURA</t>
  </si>
  <si>
    <t>TRANSFORMADOR</t>
  </si>
  <si>
    <t>Carcasa</t>
  </si>
  <si>
    <t>Rodamientos</t>
  </si>
  <si>
    <t>Bote</t>
  </si>
  <si>
    <t>Radiador</t>
  </si>
  <si>
    <t>Sup.</t>
  </si>
  <si>
    <t>Inf.</t>
  </si>
  <si>
    <t>N/A</t>
  </si>
  <si>
    <t xml:space="preserve"> 3.1  EVALUACIÓN DE LOS CONDUCTORES ELÉCTRICOS</t>
  </si>
  <si>
    <t>Condición Actual</t>
  </si>
  <si>
    <t>Tramo</t>
  </si>
  <si>
    <t>Transf-Arrancador</t>
  </si>
  <si>
    <t>Arrancador-Motor</t>
  </si>
  <si>
    <t>Calibre</t>
  </si>
  <si>
    <t>Resistencia</t>
  </si>
  <si>
    <t>Corriente</t>
  </si>
  <si>
    <t>Pérdidas</t>
  </si>
  <si>
    <t>h/año</t>
  </si>
  <si>
    <t>4/0 AWG</t>
  </si>
  <si>
    <t>TENSIÓN (V)</t>
  </si>
  <si>
    <t>CORRIENTE (A)</t>
  </si>
  <si>
    <t>POTENCIA (kW)</t>
  </si>
  <si>
    <t>Promedio</t>
  </si>
  <si>
    <t>Desbalance</t>
  </si>
  <si>
    <t>Calificativo</t>
  </si>
  <si>
    <t>EVALUACIÓN DE LA EFICIENCIA</t>
  </si>
  <si>
    <t>EVALUACIÓN DE LA EFICIENCIA DEL MOTOR</t>
  </si>
  <si>
    <t>3.3  EVALUACIÓN DE LA BOMBA</t>
  </si>
  <si>
    <t>Pérdidas en la línea de succión:</t>
  </si>
  <si>
    <t>Peso específico del fluído:</t>
  </si>
  <si>
    <t>Carga neta de bombeo:</t>
  </si>
  <si>
    <t>GASTO:</t>
  </si>
  <si>
    <t>Gasto medido:</t>
  </si>
  <si>
    <t>De Diseño:</t>
  </si>
  <si>
    <t>EFICIENCIA:</t>
  </si>
  <si>
    <t>Eficiencia electromecánica:</t>
  </si>
  <si>
    <t>Pérdidas en la línea de descarga:</t>
  </si>
  <si>
    <t>Desviación con respecto al diseño:</t>
  </si>
  <si>
    <t>De acuerdo a mediciones:</t>
  </si>
  <si>
    <t>Eficiencia de la bomba:</t>
  </si>
  <si>
    <t>3.4  BALANCE DE ENERGIA ACTUAL</t>
  </si>
  <si>
    <t>FA reb</t>
  </si>
  <si>
    <t>Pérdidas en el motor</t>
  </si>
  <si>
    <t>Pérdidas en la bomba</t>
  </si>
  <si>
    <t>Trabajo util</t>
  </si>
  <si>
    <t>Pérdidas por fugas</t>
  </si>
  <si>
    <t>Pérdidas de carga</t>
  </si>
  <si>
    <t>Pérdidas eléctricas</t>
  </si>
  <si>
    <t>Carga útil</t>
  </si>
  <si>
    <t>Perdidas por fugas</t>
  </si>
  <si>
    <t>Eficiencia de la bomba</t>
  </si>
  <si>
    <t>Eficiencia del motor</t>
  </si>
  <si>
    <t>Consumo total de energía</t>
  </si>
  <si>
    <t>TOPOGRAFIA:</t>
  </si>
  <si>
    <t>Elevación en sitio de equipo:</t>
  </si>
  <si>
    <t>Pérdidas en succión y descarga</t>
  </si>
  <si>
    <t xml:space="preserve">4.1  DESCRIPCIÓN DE LA PROPUESTA DE AHORRO
</t>
  </si>
  <si>
    <t>4.2  ESPECIFICACIONES DEL EQUIPO PROPUESTO</t>
  </si>
  <si>
    <t>4.3  PLAN DE ACCIÓN</t>
  </si>
  <si>
    <t xml:space="preserve">3.5  COMENTARIOS Y MEDIDAS DE AHORRO
</t>
  </si>
  <si>
    <t>Ahorros</t>
  </si>
  <si>
    <t>Factor de potencia</t>
  </si>
  <si>
    <t>Potencia demandada</t>
  </si>
  <si>
    <t>Consumo de Energía</t>
  </si>
  <si>
    <t>5CHC-9S</t>
  </si>
  <si>
    <t>Parámetro</t>
  </si>
  <si>
    <t>Unidades</t>
  </si>
  <si>
    <t>Cantidad</t>
  </si>
  <si>
    <t xml:space="preserve">Hay varias anomalías en el sistema de tierras, por lo que se recomienda una evaluación completa de la norma correspondiente.
</t>
  </si>
  <si>
    <t>La temperatura en el interuptor, en la fase B de entrada es alta, por lo que se recomienda ajustar los bornes de conexión.</t>
  </si>
  <si>
    <t>Los desbalances de corriente y potencia activa en el motor son altos, por lo que determina que el motor está trabajando pobremente.</t>
  </si>
  <si>
    <t>La eficiencia de la bomba es baja (63%) y la desviación de carga y gasto respecto al diseño sugiere remplazarla por una de mayor eficiencia, tomando en cuenta la curva de tabajo.</t>
  </si>
  <si>
    <t>Cambiar el conjunto de bomba-motor por uno de mayor eficiencia</t>
  </si>
  <si>
    <t>Instalar banco de capacitores</t>
  </si>
  <si>
    <t>Banco de capacitores</t>
  </si>
  <si>
    <t>Mantener en uso la instalación del equipo de control y conductores eléctricos</t>
  </si>
  <si>
    <t xml:space="preserve">Actividades: </t>
  </si>
  <si>
    <t>5.1  EVALUACIÓN DE LOS CONDUCTORES ELÉCTRICOS</t>
  </si>
  <si>
    <t>5.2  EVALUACIÓN DE LA EFICIENCIA DEL MOTOR</t>
  </si>
  <si>
    <t>5.3  BALANCE DE ENERGÍA ESPERADO</t>
  </si>
  <si>
    <t>Unidad</t>
  </si>
  <si>
    <t>6.1  CALCULO DE AHORROS</t>
  </si>
  <si>
    <t>6.2  COSTOS DE INVERSIÓN</t>
  </si>
  <si>
    <t>Costo de la energía</t>
  </si>
  <si>
    <t>Ahorros directos:</t>
  </si>
  <si>
    <t>Ahorros de energía</t>
  </si>
  <si>
    <t>Ahorros de energía en los conductores</t>
  </si>
  <si>
    <t>Suministro de una bomba sumergible</t>
  </si>
  <si>
    <t>Remover el equipo actual e instalación del equipo nuevo</t>
  </si>
  <si>
    <t>Suministro e instalación del banco de capacitores</t>
  </si>
  <si>
    <t>6.3  ANALISIS DE TASA DE RETORNO DE LA INVERSIÓN</t>
  </si>
  <si>
    <t>Ahorros totales:</t>
  </si>
  <si>
    <t>Partida</t>
  </si>
  <si>
    <t>Descripción</t>
  </si>
  <si>
    <t>NOTA 1: Las celdas coloreadas con verde son fórmulas y no deben ser alteradas</t>
  </si>
  <si>
    <t>NOTA 2: Las celdas coloreadas con amarillo son datos que deben introducirse</t>
  </si>
  <si>
    <t>SISTEMA:</t>
  </si>
  <si>
    <t>AGENCIA O EMPRESA DE AGUA:</t>
  </si>
  <si>
    <t xml:space="preserve">El factor de potencia es bajo (77.9 %), por lo que se recomienda instalar bancos de capacitores para reducir las pérdidas en conductores eléctricos por efecto Jule. </t>
  </si>
  <si>
    <t>Diameter interno (m)</t>
  </si>
  <si>
    <t>Pérdidas en la tubería</t>
  </si>
  <si>
    <t xml:space="preserve">Guerrero O. (1995). Ecuación Modificada de Colebrook-White. </t>
  </si>
  <si>
    <t>Revista Ingeniería Hidráulica de México, Vol. X, pp. 43-48, Enero-Abril.</t>
  </si>
  <si>
    <t>Vcn:</t>
  </si>
  <si>
    <t>FPa:</t>
  </si>
  <si>
    <t>¿Hay sistema de tierras?</t>
  </si>
  <si>
    <t>¿Están separados el neutro y la tierra?</t>
  </si>
  <si>
    <t>¿Está aterrizado el transformador?</t>
  </si>
  <si>
    <t>¿Está aterrizado el arrancador?</t>
  </si>
  <si>
    <t>¿Está aterrizado el motor?</t>
  </si>
  <si>
    <t>Peso específico:</t>
  </si>
  <si>
    <t>Elevación sitio más alto de entrega:</t>
  </si>
  <si>
    <t>Punto de medición:</t>
  </si>
  <si>
    <t>En la entrada del interruptor principal</t>
  </si>
  <si>
    <t>En el equipo
de control</t>
  </si>
  <si>
    <t>Entrada al interruptor</t>
  </si>
  <si>
    <t>Salida del interruptor</t>
  </si>
  <si>
    <t>Entrada al arrancador</t>
  </si>
  <si>
    <t>Salida del arrancador</t>
  </si>
  <si>
    <t>Bornes alimentador</t>
  </si>
  <si>
    <t>Bornes de baja tensión</t>
  </si>
  <si>
    <t>Pte. medir las temperaturas de los equipos.</t>
  </si>
  <si>
    <t>Especificaciones de bomba</t>
  </si>
  <si>
    <t>Especificaciones de motor</t>
  </si>
  <si>
    <t>Ahorros adicionales:</t>
  </si>
  <si>
    <t>Reemplazar el equipo sumergible de bombeo por el propuesto</t>
  </si>
  <si>
    <t>Costo del ahorro de energía</t>
  </si>
  <si>
    <t>El motor propuesto trabajará con un factor de potencia mejorado y demandará menor corriente, lo cual significa reducir el efecto jule en los conductores disminuyendo las pérdidas.</t>
  </si>
  <si>
    <t>Precio unitario (US$)</t>
  </si>
  <si>
    <t>Costo total (US$)</t>
  </si>
  <si>
    <t>Inversiones totales</t>
  </si>
  <si>
    <t>Tasa de retorno:</t>
  </si>
  <si>
    <t>Ahorro  (US$/año):</t>
  </si>
  <si>
    <t>US$/año</t>
  </si>
  <si>
    <t>US$/kWh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</si>
  <si>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</si>
  <si>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</si>
  <si>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</si>
  <si>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/s</t>
    </r>
  </si>
  <si>
    <r>
      <t>kg/m</t>
    </r>
    <r>
      <rPr>
        <vertAlign val="superscript"/>
        <sz val="10"/>
        <rFont val="Arial"/>
        <family val="2"/>
      </rPr>
      <t>3</t>
    </r>
  </si>
  <si>
    <t>kVar</t>
  </si>
  <si>
    <t>pulgadas</t>
  </si>
  <si>
    <t>l/s</t>
  </si>
  <si>
    <t>SITIO:</t>
  </si>
  <si>
    <t>FECHA:</t>
  </si>
  <si>
    <t>Tarifa contratada:</t>
  </si>
  <si>
    <t>112.5 kVA</t>
  </si>
  <si>
    <t>13200/440/254 V</t>
  </si>
  <si>
    <t>125 A</t>
  </si>
  <si>
    <t>60 HP</t>
  </si>
  <si>
    <t>INTERRUPTOR PRINCIPAL:</t>
  </si>
  <si>
    <t>PROTECCIÓN:</t>
  </si>
  <si>
    <t>CAPACITORES:</t>
  </si>
  <si>
    <t>32-40 A</t>
  </si>
  <si>
    <t>CONDUCTORES:</t>
  </si>
  <si>
    <t>XHF-4/0 AWG</t>
  </si>
  <si>
    <t>Motor Sumergible controlado por un arrancador a tensión reducida, modelo ATP112-2 DE 150 hp.</t>
  </si>
  <si>
    <t xml:space="preserve"> Falta que los datos de placa del motor instalado estén visibles en la tapa del arrancador.</t>
  </si>
  <si>
    <t>CUERPO:</t>
  </si>
  <si>
    <t>IMPULSOR:</t>
  </si>
  <si>
    <t>Bomba lubricación por aceite, descarga a red interconectada</t>
  </si>
  <si>
    <t>FLUIDO:</t>
  </si>
  <si>
    <t>Operac.</t>
  </si>
  <si>
    <t>Longitud</t>
  </si>
  <si>
    <t>3.2  EVALUACIÓN DEL MOTOR ELÉCTRICO</t>
  </si>
  <si>
    <r>
      <rPr>
        <sz val="14"/>
        <rFont val="Calibri"/>
        <family val="2"/>
      </rPr>
      <t>η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nominal:</t>
    </r>
  </si>
  <si>
    <t>Depreciación:</t>
  </si>
  <si>
    <r>
      <rPr>
        <sz val="14"/>
        <rFont val="Calibri"/>
        <family val="2"/>
      </rPr>
      <t>η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real:</t>
    </r>
  </si>
  <si>
    <t>Factor Carga  FC:</t>
  </si>
  <si>
    <t>FACTOR POTENCIA FP</t>
  </si>
  <si>
    <t>Eficiencia</t>
  </si>
  <si>
    <t>Efic. 100%</t>
  </si>
  <si>
    <t>CARGA DE BOMBEO:</t>
  </si>
  <si>
    <t>Velocidad en la línea de descarga:</t>
  </si>
  <si>
    <t>POTENCIA MANOMÉTRICA:</t>
  </si>
  <si>
    <t>Desviación:</t>
  </si>
  <si>
    <t>Rug. abs</t>
  </si>
  <si>
    <t>Rug. rel</t>
  </si>
  <si>
    <t>Trabajo útil</t>
  </si>
  <si>
    <t>1).</t>
  </si>
  <si>
    <t>2).</t>
  </si>
  <si>
    <t>Eficiencia de la Bomba:</t>
  </si>
  <si>
    <t>Voltaje nominal:</t>
  </si>
  <si>
    <t>Eficiencia electromecánica nueva:</t>
  </si>
  <si>
    <t>Potencia HP:</t>
  </si>
  <si>
    <t>Eficiencia a plena carga:</t>
  </si>
  <si>
    <t>Número de fases:</t>
  </si>
  <si>
    <t>Velocidad angular:</t>
  </si>
  <si>
    <t>Instalar válvula check</t>
  </si>
  <si>
    <t>FP</t>
  </si>
  <si>
    <t>Efic. real</t>
  </si>
  <si>
    <t>Efic. nom</t>
  </si>
  <si>
    <t>Beneficios directos por ahorros en la bomba y el motor</t>
  </si>
  <si>
    <t>Reducción en el consumo de energía (kWh/año):</t>
  </si>
  <si>
    <t>US$:</t>
  </si>
  <si>
    <t xml:space="preserve">EVALUACION DE SISTEMAS DE BOMBEO DE AGUA </t>
  </si>
  <si>
    <t>Años</t>
  </si>
  <si>
    <t>Hoja de Calculo</t>
  </si>
  <si>
    <t xml:space="preserve">El arrancador está aterrizado por la estructura de la tubería del poste 
</t>
  </si>
  <si>
    <t>al ATP112-2 DE 150 hp.</t>
  </si>
  <si>
    <r>
      <t>Presión (kg/cm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</si>
  <si>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Caudal (l/s)</t>
  </si>
  <si>
    <t>Velocidad (m/s)</t>
  </si>
  <si>
    <t>msnm</t>
  </si>
  <si>
    <t>(metros sobre nivel del mar)</t>
  </si>
  <si>
    <t>Sonda neumática, referencia gasto 9,2 l/s instalado</t>
  </si>
  <si>
    <t>EQUIPO:</t>
  </si>
</sst>
</file>

<file path=xl/styles.xml><?xml version="1.0" encoding="utf-8"?>
<styleSheet xmlns="http://schemas.openxmlformats.org/spreadsheetml/2006/main">
  <numFmts count="13">
    <numFmt numFmtId="164" formatCode="&quot;$&quot;#,##0.00;[Red]\-&quot;$&quot;#,##0.00"/>
    <numFmt numFmtId="165" formatCode="_(&quot;₡&quot;* #,##0.00_);_(&quot;₡&quot;* \(#,##0.00\);_(&quot;₡&quot;* &quot;-&quot;??_);_(@_)"/>
    <numFmt numFmtId="166" formatCode="0.000"/>
    <numFmt numFmtId="167" formatCode="0.0"/>
    <numFmt numFmtId="168" formatCode="0.0000"/>
    <numFmt numFmtId="169" formatCode="0.0%"/>
    <numFmt numFmtId="170" formatCode="_-* #,##0.00\ [$€]_-;\-* #,##0.00\ [$€]_-;_-* &quot;-&quot;??\ [$€]_-;_-@_-"/>
    <numFmt numFmtId="171" formatCode="0.000E+00"/>
    <numFmt numFmtId="172" formatCode="0.0E+00"/>
    <numFmt numFmtId="173" formatCode="#,##0.0"/>
    <numFmt numFmtId="174" formatCode="0.00000"/>
    <numFmt numFmtId="175" formatCode="[$-80A]d&quot; de &quot;mmmm&quot; de &quot;yyyy;@"/>
    <numFmt numFmtId="176" formatCode="&quot;$&quot;#,##0.00"/>
  </numFmts>
  <fonts count="30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9.1999999999999993"/>
      <name val="Arial"/>
      <family val="2"/>
    </font>
    <font>
      <sz val="14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b/>
      <shadow/>
      <sz val="20"/>
      <color indexed="56"/>
      <name val="Arial"/>
      <family val="2"/>
    </font>
    <font>
      <b/>
      <shadow/>
      <sz val="12"/>
      <color indexed="56"/>
      <name val="Arial"/>
      <family val="2"/>
    </font>
    <font>
      <b/>
      <shadow/>
      <sz val="16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/>
    <xf numFmtId="0" fontId="0" fillId="0" borderId="4" xfId="0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right"/>
    </xf>
    <xf numFmtId="2" fontId="0" fillId="0" borderId="0" xfId="0" applyNumberFormat="1"/>
    <xf numFmtId="0" fontId="0" fillId="0" borderId="2" xfId="0" applyFill="1" applyBorder="1"/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Fill="1" applyBorder="1" applyAlignment="1"/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5" fontId="0" fillId="0" borderId="0" xfId="0" applyNumberFormat="1" applyBorder="1" applyAlignment="1"/>
    <xf numFmtId="0" fontId="0" fillId="0" borderId="2" xfId="0" applyBorder="1" applyAlignment="1"/>
    <xf numFmtId="0" fontId="6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0" fillId="0" borderId="5" xfId="0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10" fontId="1" fillId="0" borderId="0" xfId="3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Border="1"/>
    <xf numFmtId="0" fontId="1" fillId="0" borderId="4" xfId="0" applyFont="1" applyBorder="1" applyAlignment="1">
      <alignment vertical="top" wrapText="1"/>
    </xf>
    <xf numFmtId="3" fontId="0" fillId="0" borderId="0" xfId="0" applyNumberFormat="1" applyBorder="1" applyAlignment="1"/>
    <xf numFmtId="0" fontId="0" fillId="0" borderId="0" xfId="0" applyFill="1" applyAlignment="1">
      <alignment horizontal="justify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4" xfId="0" applyBorder="1"/>
    <xf numFmtId="0" fontId="4" fillId="0" borderId="0" xfId="0" applyFont="1" applyBorder="1" applyAlignment="1">
      <alignment horizontal="right" vertical="top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1" fillId="0" borderId="0" xfId="0" applyFont="1" applyBorder="1" applyAlignment="1">
      <alignment horizontal="left" vertical="top" wrapText="1"/>
    </xf>
    <xf numFmtId="4" fontId="0" fillId="0" borderId="0" xfId="1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1" applyNumberFormat="1" applyFont="1" applyAlignment="1">
      <alignment horizontal="right" vertical="center" wrapText="1"/>
    </xf>
    <xf numFmtId="0" fontId="1" fillId="0" borderId="7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9" xfId="0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1" fontId="1" fillId="0" borderId="0" xfId="0" applyNumberFormat="1" applyFont="1" applyFill="1" applyAlignment="1">
      <alignment vertical="justify" wrapText="1"/>
    </xf>
    <xf numFmtId="169" fontId="1" fillId="0" borderId="0" xfId="3" applyNumberFormat="1" applyFont="1" applyFill="1" applyAlignment="1">
      <alignment vertical="center" wrapText="1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7" xfId="0" applyFill="1" applyBorder="1"/>
    <xf numFmtId="0" fontId="0" fillId="2" borderId="2" xfId="0" applyFill="1" applyBorder="1" applyAlignment="1"/>
    <xf numFmtId="0" fontId="0" fillId="2" borderId="10" xfId="0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 applyAlignment="1">
      <alignment horizontal="center"/>
    </xf>
    <xf numFmtId="0" fontId="15" fillId="0" borderId="0" xfId="0" applyFont="1"/>
    <xf numFmtId="0" fontId="0" fillId="2" borderId="3" xfId="0" applyFill="1" applyBorder="1" applyAlignment="1">
      <alignment horizontal="center"/>
    </xf>
    <xf numFmtId="0" fontId="0" fillId="2" borderId="0" xfId="0" applyFill="1" applyBorder="1" applyAlignment="1"/>
    <xf numFmtId="0" fontId="1" fillId="0" borderId="2" xfId="0" applyFont="1" applyBorder="1"/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0" fontId="1" fillId="0" borderId="5" xfId="3" applyNumberFormat="1" applyFont="1" applyFill="1" applyBorder="1" applyAlignment="1">
      <alignment horizontal="center"/>
    </xf>
    <xf numFmtId="0" fontId="1" fillId="2" borderId="2" xfId="0" applyFont="1" applyFill="1" applyBorder="1"/>
    <xf numFmtId="0" fontId="0" fillId="2" borderId="0" xfId="0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10" fontId="1" fillId="0" borderId="0" xfId="3" applyNumberFormat="1" applyFont="1" applyFill="1" applyBorder="1" applyAlignment="1">
      <alignment horizontal="center"/>
    </xf>
    <xf numFmtId="10" fontId="1" fillId="0" borderId="2" xfId="3" applyNumberFormat="1" applyFont="1" applyFill="1" applyBorder="1" applyAlignment="1">
      <alignment horizontal="center" vertical="center"/>
    </xf>
    <xf numFmtId="10" fontId="1" fillId="0" borderId="2" xfId="3" applyNumberFormat="1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4" fontId="0" fillId="0" borderId="0" xfId="1" applyNumberFormat="1" applyFont="1" applyFill="1" applyAlignment="1">
      <alignment horizontal="right" vertical="center" wrapText="1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0" fontId="0" fillId="0" borderId="2" xfId="3" applyNumberFormat="1" applyFont="1" applyFill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3" fontId="0" fillId="0" borderId="0" xfId="0" applyNumberFormat="1"/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1" fontId="1" fillId="0" borderId="0" xfId="0" applyNumberFormat="1" applyFont="1" applyFill="1" applyBorder="1" applyAlignment="1">
      <alignment vertical="justify" wrapText="1"/>
    </xf>
    <xf numFmtId="169" fontId="1" fillId="0" borderId="0" xfId="3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justify" vertical="center" wrapText="1"/>
    </xf>
    <xf numFmtId="0" fontId="14" fillId="0" borderId="2" xfId="0" applyFont="1" applyBorder="1" applyAlignment="1">
      <alignment horizontal="right" vertical="top"/>
    </xf>
    <xf numFmtId="0" fontId="14" fillId="0" borderId="2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vertical="justify" wrapText="1"/>
    </xf>
    <xf numFmtId="169" fontId="1" fillId="0" borderId="2" xfId="3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/>
    <xf numFmtId="0" fontId="0" fillId="0" borderId="0" xfId="0" applyBorder="1" applyAlignment="1">
      <alignment horizontal="left" vertical="center" wrapText="1"/>
    </xf>
    <xf numFmtId="169" fontId="0" fillId="0" borderId="0" xfId="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0" fillId="0" borderId="1" xfId="0" applyFill="1" applyBorder="1"/>
    <xf numFmtId="0" fontId="4" fillId="0" borderId="0" xfId="0" applyFont="1" applyBorder="1" applyAlignment="1">
      <alignment horizontal="right" vertical="top"/>
    </xf>
    <xf numFmtId="0" fontId="14" fillId="0" borderId="2" xfId="0" applyFont="1" applyBorder="1"/>
    <xf numFmtId="0" fontId="1" fillId="0" borderId="2" xfId="0" applyFont="1" applyBorder="1" applyAlignment="1">
      <alignment horizontal="justify" vertical="center" wrapText="1"/>
    </xf>
    <xf numFmtId="4" fontId="0" fillId="0" borderId="2" xfId="1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4" fontId="0" fillId="0" borderId="0" xfId="1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top"/>
    </xf>
    <xf numFmtId="3" fontId="0" fillId="0" borderId="2" xfId="0" applyNumberFormat="1" applyBorder="1" applyAlignment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4" fontId="4" fillId="0" borderId="0" xfId="1" applyNumberFormat="1" applyFont="1" applyBorder="1" applyAlignment="1">
      <alignment vertical="center" wrapText="1"/>
    </xf>
    <xf numFmtId="4" fontId="4" fillId="0" borderId="12" xfId="1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2" xfId="0" applyBorder="1" applyAlignment="1">
      <alignment horizontal="center" vertical="center" wrapText="1"/>
    </xf>
    <xf numFmtId="4" fontId="0" fillId="0" borderId="2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" fillId="0" borderId="2" xfId="0" applyFont="1" applyBorder="1" applyAlignment="1"/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7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4" xfId="0" applyFill="1" applyBorder="1"/>
    <xf numFmtId="0" fontId="0" fillId="0" borderId="13" xfId="0" applyBorder="1"/>
    <xf numFmtId="0" fontId="0" fillId="0" borderId="6" xfId="0" applyFill="1" applyBorder="1" applyAlignment="1">
      <alignment horizontal="left"/>
    </xf>
    <xf numFmtId="169" fontId="1" fillId="0" borderId="0" xfId="3" applyNumberFormat="1" applyFill="1" applyBorder="1" applyAlignment="1">
      <alignment horizontal="center"/>
    </xf>
    <xf numFmtId="0" fontId="0" fillId="0" borderId="7" xfId="0" applyFill="1" applyBorder="1"/>
    <xf numFmtId="0" fontId="4" fillId="0" borderId="1" xfId="0" applyFont="1" applyFill="1" applyBorder="1" applyAlignment="1">
      <alignment horizontal="left"/>
    </xf>
    <xf numFmtId="0" fontId="0" fillId="3" borderId="2" xfId="0" applyFill="1" applyBorder="1"/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3" borderId="6" xfId="0" applyFill="1" applyBorder="1"/>
    <xf numFmtId="0" fontId="1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/>
    <xf numFmtId="169" fontId="1" fillId="3" borderId="6" xfId="3" applyNumberFormat="1" applyFont="1" applyFill="1" applyBorder="1" applyAlignment="1"/>
    <xf numFmtId="169" fontId="1" fillId="3" borderId="6" xfId="3" applyNumberFormat="1" applyFill="1" applyBorder="1" applyAlignment="1"/>
    <xf numFmtId="0" fontId="0" fillId="3" borderId="2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2" fontId="0" fillId="3" borderId="0" xfId="0" applyNumberFormat="1" applyFill="1" applyBorder="1"/>
    <xf numFmtId="0" fontId="0" fillId="3" borderId="1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3" borderId="5" xfId="0" applyFill="1" applyBorder="1"/>
    <xf numFmtId="0" fontId="4" fillId="3" borderId="0" xfId="0" applyFont="1" applyFill="1" applyBorder="1" applyAlignment="1">
      <alignment horizontal="right" vertical="top"/>
    </xf>
    <xf numFmtId="0" fontId="0" fillId="3" borderId="1" xfId="0" applyFill="1" applyBorder="1"/>
    <xf numFmtId="0" fontId="4" fillId="3" borderId="2" xfId="0" applyFont="1" applyFill="1" applyBorder="1" applyAlignment="1">
      <alignment horizontal="right" vertical="top"/>
    </xf>
    <xf numFmtId="0" fontId="1" fillId="3" borderId="0" xfId="0" applyFont="1" applyFill="1" applyBorder="1" applyAlignment="1"/>
    <xf numFmtId="0" fontId="14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167" fontId="1" fillId="3" borderId="0" xfId="0" applyNumberFormat="1" applyFont="1" applyFill="1" applyBorder="1" applyAlignment="1">
      <alignment vertical="justify" wrapText="1"/>
    </xf>
    <xf numFmtId="0" fontId="0" fillId="3" borderId="0" xfId="0" applyFill="1"/>
    <xf numFmtId="1" fontId="1" fillId="3" borderId="0" xfId="0" applyNumberFormat="1" applyFont="1" applyFill="1" applyBorder="1" applyAlignment="1">
      <alignment vertical="justify" wrapText="1"/>
    </xf>
    <xf numFmtId="0" fontId="1" fillId="3" borderId="0" xfId="0" applyFont="1" applyFill="1" applyBorder="1" applyAlignment="1">
      <alignment horizontal="right" vertical="top" wrapText="1"/>
    </xf>
    <xf numFmtId="0" fontId="1" fillId="3" borderId="11" xfId="0" applyFont="1" applyFill="1" applyBorder="1" applyAlignment="1">
      <alignment horizontal="center" vertical="top"/>
    </xf>
    <xf numFmtId="0" fontId="23" fillId="0" borderId="0" xfId="0" applyFont="1"/>
    <xf numFmtId="0" fontId="24" fillId="0" borderId="0" xfId="0" applyFont="1"/>
    <xf numFmtId="0" fontId="1" fillId="2" borderId="0" xfId="0" applyFont="1" applyFill="1" applyBorder="1"/>
    <xf numFmtId="171" fontId="0" fillId="0" borderId="0" xfId="0" applyNumberFormat="1"/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7" fillId="5" borderId="11" xfId="0" applyFont="1" applyFill="1" applyBorder="1"/>
    <xf numFmtId="0" fontId="7" fillId="5" borderId="11" xfId="0" applyFont="1" applyFill="1" applyBorder="1" applyAlignment="1">
      <alignment horizontal="center"/>
    </xf>
    <xf numFmtId="10" fontId="19" fillId="5" borderId="11" xfId="3" applyNumberFormat="1" applyFont="1" applyFill="1" applyBorder="1"/>
    <xf numFmtId="0" fontId="0" fillId="5" borderId="2" xfId="0" applyFill="1" applyBorder="1"/>
    <xf numFmtId="168" fontId="0" fillId="5" borderId="11" xfId="0" applyNumberForma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/>
    </xf>
    <xf numFmtId="0" fontId="1" fillId="0" borderId="2" xfId="0" applyFont="1" applyFill="1" applyBorder="1"/>
    <xf numFmtId="0" fontId="1" fillId="5" borderId="11" xfId="0" applyFont="1" applyFill="1" applyBorder="1"/>
    <xf numFmtId="0" fontId="1" fillId="0" borderId="2" xfId="0" applyFont="1" applyFill="1" applyBorder="1" applyAlignment="1">
      <alignment horizontal="right"/>
    </xf>
    <xf numFmtId="0" fontId="0" fillId="0" borderId="7" xfId="0" applyFill="1" applyBorder="1" applyAlignment="1">
      <alignment horizontal="left"/>
    </xf>
    <xf numFmtId="166" fontId="0" fillId="5" borderId="11" xfId="0" applyNumberFormat="1" applyFill="1" applyBorder="1" applyAlignment="1">
      <alignment horizontal="center"/>
    </xf>
    <xf numFmtId="168" fontId="0" fillId="5" borderId="11" xfId="0" applyNumberFormat="1" applyFill="1" applyBorder="1" applyAlignment="1">
      <alignment horizontal="center"/>
    </xf>
    <xf numFmtId="0" fontId="1" fillId="3" borderId="2" xfId="0" applyFont="1" applyFill="1" applyBorder="1" applyAlignment="1"/>
    <xf numFmtId="0" fontId="1" fillId="0" borderId="7" xfId="0" applyFont="1" applyBorder="1" applyAlignment="1"/>
    <xf numFmtId="0" fontId="0" fillId="3" borderId="6" xfId="0" applyFill="1" applyBorder="1" applyAlignment="1">
      <alignment horizontal="left"/>
    </xf>
    <xf numFmtId="0" fontId="1" fillId="0" borderId="8" xfId="0" applyFont="1" applyBorder="1"/>
    <xf numFmtId="0" fontId="1" fillId="2" borderId="8" xfId="0" applyFont="1" applyFill="1" applyBorder="1"/>
    <xf numFmtId="0" fontId="1" fillId="0" borderId="8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/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6" borderId="0" xfId="0" applyFill="1" applyBorder="1"/>
    <xf numFmtId="0" fontId="1" fillId="0" borderId="6" xfId="0" applyFont="1" applyFill="1" applyBorder="1" applyAlignment="1">
      <alignment horizontal="left"/>
    </xf>
    <xf numFmtId="0" fontId="0" fillId="0" borderId="0" xfId="0" applyFill="1"/>
    <xf numFmtId="0" fontId="1" fillId="0" borderId="2" xfId="0" applyFont="1" applyFill="1" applyBorder="1" applyAlignment="1"/>
    <xf numFmtId="0" fontId="0" fillId="0" borderId="0" xfId="0" applyBorder="1" applyAlignment="1">
      <alignment horizontal="left"/>
    </xf>
    <xf numFmtId="167" fontId="0" fillId="3" borderId="2" xfId="0" applyNumberFormat="1" applyFill="1" applyBorder="1" applyAlignment="1">
      <alignment horizontal="right"/>
    </xf>
    <xf numFmtId="0" fontId="0" fillId="0" borderId="16" xfId="0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20" fillId="5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9" fontId="19" fillId="0" borderId="6" xfId="3" applyNumberFormat="1" applyFont="1" applyFill="1" applyBorder="1" applyAlignment="1"/>
    <xf numFmtId="169" fontId="19" fillId="0" borderId="2" xfId="3" applyNumberFormat="1" applyFont="1" applyFill="1" applyBorder="1" applyAlignment="1"/>
    <xf numFmtId="10" fontId="19" fillId="0" borderId="0" xfId="3" applyNumberFormat="1" applyFont="1" applyFill="1" applyBorder="1" applyAlignment="1"/>
    <xf numFmtId="10" fontId="4" fillId="0" borderId="0" xfId="0" applyNumberFormat="1" applyFont="1" applyFill="1" applyBorder="1" applyAlignment="1"/>
    <xf numFmtId="2" fontId="0" fillId="5" borderId="2" xfId="0" applyNumberForma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right"/>
    </xf>
    <xf numFmtId="169" fontId="19" fillId="5" borderId="0" xfId="3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vertical="justify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7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" fillId="0" borderId="0" xfId="0" applyFont="1"/>
    <xf numFmtId="169" fontId="19" fillId="5" borderId="6" xfId="3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 vertical="justify" wrapText="1"/>
    </xf>
    <xf numFmtId="0" fontId="0" fillId="6" borderId="2" xfId="0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169" fontId="19" fillId="5" borderId="2" xfId="3" applyNumberFormat="1" applyFont="1" applyFill="1" applyBorder="1" applyAlignment="1">
      <alignment horizontal="right"/>
    </xf>
    <xf numFmtId="166" fontId="0" fillId="5" borderId="2" xfId="0" applyNumberFormat="1" applyFill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" borderId="0" xfId="0" applyFont="1" applyFill="1" applyBorder="1" applyAlignment="1">
      <alignment horizontal="left" vertical="center" wrapText="1"/>
    </xf>
    <xf numFmtId="2" fontId="0" fillId="5" borderId="2" xfId="0" applyNumberFormat="1" applyFill="1" applyBorder="1" applyAlignment="1">
      <alignment horizontal="right"/>
    </xf>
    <xf numFmtId="2" fontId="0" fillId="5" borderId="6" xfId="0" applyNumberFormat="1" applyFill="1" applyBorder="1" applyAlignment="1">
      <alignment horizontal="right"/>
    </xf>
    <xf numFmtId="169" fontId="4" fillId="5" borderId="2" xfId="0" applyNumberFormat="1" applyFont="1" applyFill="1" applyBorder="1" applyAlignment="1">
      <alignment horizontal="right"/>
    </xf>
    <xf numFmtId="10" fontId="19" fillId="5" borderId="2" xfId="3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3" borderId="2" xfId="0" applyNumberFormat="1" applyFill="1" applyBorder="1" applyAlignment="1">
      <alignment horizontal="right"/>
    </xf>
    <xf numFmtId="167" fontId="0" fillId="0" borderId="2" xfId="0" applyNumberForma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75" fontId="1" fillId="3" borderId="0" xfId="0" applyNumberFormat="1" applyFont="1" applyFill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1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" fontId="0" fillId="3" borderId="6" xfId="0" applyNumberFormat="1" applyFill="1" applyBorder="1" applyAlignment="1">
      <alignment horizontal="left"/>
    </xf>
    <xf numFmtId="1" fontId="0" fillId="3" borderId="9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6" fillId="4" borderId="6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2" xfId="0" applyFill="1" applyBorder="1" applyAlignment="1">
      <alignment horizontal="right"/>
    </xf>
    <xf numFmtId="0" fontId="1" fillId="3" borderId="6" xfId="0" applyFont="1" applyFill="1" applyBorder="1" applyAlignment="1">
      <alignment horizontal="left" wrapText="1"/>
    </xf>
    <xf numFmtId="166" fontId="0" fillId="3" borderId="11" xfId="0" applyNumberForma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1" fontId="0" fillId="3" borderId="6" xfId="0" applyNumberFormat="1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2" fontId="0" fillId="3" borderId="6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  <xf numFmtId="0" fontId="0" fillId="0" borderId="5" xfId="0" applyBorder="1"/>
    <xf numFmtId="0" fontId="0" fillId="0" borderId="0" xfId="0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21" fillId="4" borderId="12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8" fillId="5" borderId="11" xfId="0" applyNumberFormat="1" applyFont="1" applyFill="1" applyBorder="1" applyAlignment="1">
      <alignment horizontal="center"/>
    </xf>
    <xf numFmtId="167" fontId="7" fillId="5" borderId="11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68" fontId="1" fillId="3" borderId="12" xfId="0" applyNumberFormat="1" applyFont="1" applyFill="1" applyBorder="1" applyAlignment="1">
      <alignment horizontal="center"/>
    </xf>
    <xf numFmtId="168" fontId="1" fillId="3" borderId="6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9" fontId="1" fillId="5" borderId="0" xfId="3" applyNumberFormat="1" applyFont="1" applyFill="1" applyBorder="1" applyAlignment="1">
      <alignment horizontal="center"/>
    </xf>
    <xf numFmtId="169" fontId="1" fillId="5" borderId="4" xfId="3" applyNumberFormat="1" applyFont="1" applyFill="1" applyBorder="1" applyAlignment="1">
      <alignment horizontal="center"/>
    </xf>
    <xf numFmtId="10" fontId="1" fillId="5" borderId="0" xfId="3" applyNumberFormat="1" applyFont="1" applyFill="1" applyBorder="1" applyAlignment="1">
      <alignment horizontal="center"/>
    </xf>
    <xf numFmtId="10" fontId="1" fillId="5" borderId="4" xfId="3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0" fontId="1" fillId="5" borderId="11" xfId="3" applyNumberFormat="1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0" fontId="0" fillId="5" borderId="11" xfId="0" applyNumberFormat="1" applyFill="1" applyBorder="1" applyAlignment="1">
      <alignment horizontal="center"/>
    </xf>
    <xf numFmtId="10" fontId="0" fillId="5" borderId="12" xfId="0" applyNumberFormat="1" applyFill="1" applyBorder="1" applyAlignment="1">
      <alignment horizontal="center"/>
    </xf>
    <xf numFmtId="169" fontId="19" fillId="3" borderId="11" xfId="3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0" fontId="1" fillId="0" borderId="2" xfId="3" applyNumberFormat="1" applyFont="1" applyFill="1" applyBorder="1" applyAlignment="1">
      <alignment horizontal="center"/>
    </xf>
    <xf numFmtId="10" fontId="1" fillId="0" borderId="3" xfId="3" applyNumberFormat="1" applyFont="1" applyFill="1" applyBorder="1" applyAlignment="1">
      <alignment horizontal="center"/>
    </xf>
    <xf numFmtId="10" fontId="1" fillId="5" borderId="2" xfId="3" applyNumberFormat="1" applyFont="1" applyFill="1" applyBorder="1" applyAlignment="1">
      <alignment horizontal="center"/>
    </xf>
    <xf numFmtId="10" fontId="1" fillId="5" borderId="3" xfId="3" applyNumberFormat="1" applyFont="1" applyFill="1" applyBorder="1" applyAlignment="1">
      <alignment horizontal="center"/>
    </xf>
    <xf numFmtId="10" fontId="1" fillId="5" borderId="0" xfId="3" applyNumberFormat="1" applyFont="1" applyFill="1" applyBorder="1" applyAlignment="1">
      <alignment horizontal="center" vertical="center"/>
    </xf>
    <xf numFmtId="10" fontId="1" fillId="5" borderId="4" xfId="3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1" fillId="5" borderId="0" xfId="0" applyNumberFormat="1" applyFont="1" applyFill="1" applyBorder="1" applyAlignment="1">
      <alignment horizontal="center" vertical="center"/>
    </xf>
    <xf numFmtId="10" fontId="1" fillId="0" borderId="0" xfId="3" applyNumberFormat="1" applyFont="1" applyFill="1" applyBorder="1" applyAlignment="1">
      <alignment horizontal="center"/>
    </xf>
    <xf numFmtId="10" fontId="1" fillId="0" borderId="4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3" fontId="4" fillId="5" borderId="6" xfId="1" applyNumberFormat="1" applyFont="1" applyFill="1" applyBorder="1" applyAlignment="1">
      <alignment horizontal="right" vertical="center" wrapText="1"/>
    </xf>
    <xf numFmtId="3" fontId="4" fillId="5" borderId="9" xfId="1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top" wrapText="1"/>
    </xf>
    <xf numFmtId="3" fontId="4" fillId="5" borderId="11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 wrapText="1"/>
    </xf>
    <xf numFmtId="3" fontId="19" fillId="5" borderId="11" xfId="1" applyNumberFormat="1" applyFont="1" applyFill="1" applyBorder="1" applyAlignment="1">
      <alignment horizontal="right" vertical="center" wrapText="1"/>
    </xf>
    <xf numFmtId="169" fontId="1" fillId="5" borderId="2" xfId="3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5" borderId="6" xfId="0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172" fontId="0" fillId="5" borderId="11" xfId="0" applyNumberFormat="1" applyFill="1" applyBorder="1" applyAlignment="1">
      <alignment horizontal="center"/>
    </xf>
    <xf numFmtId="171" fontId="0" fillId="5" borderId="11" xfId="0" applyNumberFormat="1" applyFill="1" applyBorder="1" applyAlignment="1">
      <alignment horizontal="center"/>
    </xf>
    <xf numFmtId="168" fontId="0" fillId="5" borderId="11" xfId="0" applyNumberFormat="1" applyFill="1" applyBorder="1" applyAlignment="1">
      <alignment horizontal="center"/>
    </xf>
    <xf numFmtId="11" fontId="0" fillId="5" borderId="12" xfId="0" applyNumberFormat="1" applyFill="1" applyBorder="1" applyAlignment="1">
      <alignment horizontal="center"/>
    </xf>
    <xf numFmtId="11" fontId="0" fillId="5" borderId="6" xfId="0" applyNumberFormat="1" applyFill="1" applyBorder="1" applyAlignment="1">
      <alignment horizontal="center"/>
    </xf>
    <xf numFmtId="11" fontId="0" fillId="5" borderId="9" xfId="0" applyNumberForma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19" fillId="3" borderId="11" xfId="1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3" fontId="1" fillId="5" borderId="1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center"/>
    </xf>
    <xf numFmtId="4" fontId="4" fillId="0" borderId="17" xfId="1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justify" wrapText="1"/>
    </xf>
    <xf numFmtId="0" fontId="1" fillId="3" borderId="0" xfId="0" applyFont="1" applyFill="1" applyBorder="1" applyAlignment="1">
      <alignment horizontal="left" vertical="top"/>
    </xf>
    <xf numFmtId="3" fontId="1" fillId="3" borderId="0" xfId="0" applyNumberFormat="1" applyFont="1" applyFill="1" applyBorder="1" applyAlignment="1">
      <alignment horizontal="left" vertical="center"/>
    </xf>
    <xf numFmtId="169" fontId="19" fillId="3" borderId="0" xfId="3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9" fontId="0" fillId="3" borderId="11" xfId="0" applyNumberFormat="1" applyFill="1" applyBorder="1" applyAlignment="1">
      <alignment horizontal="center"/>
    </xf>
    <xf numFmtId="176" fontId="1" fillId="0" borderId="12" xfId="0" applyNumberFormat="1" applyFont="1" applyBorder="1" applyAlignment="1">
      <alignment horizontal="left" vertical="center" wrapText="1"/>
    </xf>
    <xf numFmtId="176" fontId="1" fillId="0" borderId="6" xfId="0" applyNumberFormat="1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left" vertical="center" wrapText="1"/>
    </xf>
    <xf numFmtId="3" fontId="1" fillId="5" borderId="12" xfId="0" applyNumberFormat="1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3" fontId="1" fillId="5" borderId="9" xfId="0" applyNumberFormat="1" applyFont="1" applyFill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" fontId="1" fillId="0" borderId="11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3" fontId="19" fillId="5" borderId="0" xfId="1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/>
    </xf>
    <xf numFmtId="167" fontId="1" fillId="5" borderId="11" xfId="0" applyNumberFormat="1" applyFont="1" applyFill="1" applyBorder="1" applyAlignment="1">
      <alignment horizontal="center"/>
    </xf>
    <xf numFmtId="2" fontId="0" fillId="5" borderId="11" xfId="0" applyNumberFormat="1" applyFill="1" applyBorder="1" applyAlignment="1">
      <alignment horizontal="center" vertical="center"/>
    </xf>
    <xf numFmtId="169" fontId="1" fillId="3" borderId="11" xfId="3" applyNumberFormat="1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168" fontId="1" fillId="3" borderId="11" xfId="0" applyNumberFormat="1" applyFont="1" applyFill="1" applyBorder="1" applyAlignment="1">
      <alignment horizontal="center"/>
    </xf>
    <xf numFmtId="169" fontId="1" fillId="5" borderId="11" xfId="3" applyNumberFormat="1" applyFont="1" applyFill="1" applyBorder="1" applyAlignment="1">
      <alignment horizontal="center"/>
    </xf>
    <xf numFmtId="174" fontId="0" fillId="5" borderId="11" xfId="0" applyNumberForma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173" fontId="0" fillId="5" borderId="12" xfId="0" applyNumberFormat="1" applyFill="1" applyBorder="1" applyAlignment="1">
      <alignment horizontal="center"/>
    </xf>
    <xf numFmtId="173" fontId="0" fillId="5" borderId="6" xfId="0" applyNumberFormat="1" applyFill="1" applyBorder="1" applyAlignment="1">
      <alignment horizontal="center"/>
    </xf>
    <xf numFmtId="173" fontId="0" fillId="5" borderId="9" xfId="0" applyNumberForma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0" fillId="5" borderId="12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9" fontId="19" fillId="5" borderId="12" xfId="3" applyFont="1" applyFill="1" applyBorder="1" applyAlignment="1">
      <alignment horizontal="center"/>
    </xf>
    <xf numFmtId="9" fontId="19" fillId="5" borderId="6" xfId="3" applyFont="1" applyFill="1" applyBorder="1" applyAlignment="1">
      <alignment horizontal="center"/>
    </xf>
    <xf numFmtId="9" fontId="19" fillId="5" borderId="9" xfId="3" applyFont="1" applyFill="1" applyBorder="1" applyAlignment="1">
      <alignment horizontal="center"/>
    </xf>
    <xf numFmtId="4" fontId="4" fillId="5" borderId="6" xfId="1" applyNumberFormat="1" applyFont="1" applyFill="1" applyBorder="1" applyAlignment="1">
      <alignment vertical="center" wrapText="1"/>
    </xf>
    <xf numFmtId="4" fontId="4" fillId="5" borderId="9" xfId="1" applyNumberFormat="1" applyFont="1" applyFill="1" applyBorder="1" applyAlignment="1">
      <alignment vertical="center" wrapText="1"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5" borderId="15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center" wrapText="1"/>
    </xf>
    <xf numFmtId="4" fontId="19" fillId="3" borderId="11" xfId="1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Currency" xfId="1" builtinId="4"/>
    <cellStyle name="Euro" xfId="2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BALANCE DE ENERGÍA ACTUAL</a:t>
            </a:r>
          </a:p>
        </c:rich>
      </c:tx>
      <c:layout/>
      <c:spPr>
        <a:noFill/>
        <a:ln w="25400">
          <a:noFill/>
        </a:ln>
      </c:spPr>
    </c:title>
    <c:view3D>
      <c:rotX val="30"/>
      <c:rotY val="20"/>
      <c:perspective val="30"/>
    </c:view3D>
    <c:plotArea>
      <c:layout>
        <c:manualLayout>
          <c:layoutTarget val="inner"/>
          <c:xMode val="edge"/>
          <c:yMode val="edge"/>
          <c:x val="0.14553120008955783"/>
          <c:y val="0.3517725551481638"/>
          <c:w val="0.6868025468108353"/>
          <c:h val="0.5338807131867136"/>
        </c:manualLayout>
      </c:layout>
      <c:pie3DChart>
        <c:varyColors val="1"/>
        <c:ser>
          <c:idx val="0"/>
          <c:order val="0"/>
          <c:tx>
            <c:strRef>
              <c:f>Ejemplo!$A$188:$U$188</c:f>
              <c:strCache>
                <c:ptCount val="1"/>
                <c:pt idx="0">
                  <c:v>3.4  BALANCE DE ENERGIA ACTUAL</c:v>
                </c:pt>
              </c:strCache>
            </c:strRef>
          </c:tx>
          <c:explosion val="25"/>
          <c:dPt>
            <c:idx val="1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3.442611886631787E-2"/>
                  <c:y val="-1.577095966452469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5.8815650074176093E-2"/>
                  <c:y val="-3.324302852947990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8191945439937587E-2"/>
                  <c:y val="-1.673555173419418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1337312662474246"/>
                  <c:y val="0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5066854125944396"/>
                  <c:y val="-4.9858710189960983E-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2.8156128374609631E-2"/>
                  <c:y val="-8.807192204422752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2.1219238659157612E-2"/>
                  <c:y val="-2.9702034372140265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Ejemplo!$B$196:$B$202</c:f>
              <c:strCache>
                <c:ptCount val="7"/>
                <c:pt idx="0">
                  <c:v>Pérdidas eléctricas</c:v>
                </c:pt>
                <c:pt idx="1">
                  <c:v>Pérdidas en el motor</c:v>
                </c:pt>
                <c:pt idx="2">
                  <c:v>Pérdidas en la bomba</c:v>
                </c:pt>
                <c:pt idx="3">
                  <c:v>Pérdidas en succión y descarga</c:v>
                </c:pt>
                <c:pt idx="4">
                  <c:v>Pérdidas de carga</c:v>
                </c:pt>
                <c:pt idx="5">
                  <c:v>Pérdidas por fugas</c:v>
                </c:pt>
                <c:pt idx="6">
                  <c:v>Trabajo útil</c:v>
                </c:pt>
              </c:strCache>
            </c:strRef>
          </c:cat>
          <c:val>
            <c:numRef>
              <c:f>Ejemplo!$G$196:$G$202</c:f>
              <c:numCache>
                <c:formatCode>#,##0</c:formatCode>
                <c:ptCount val="7"/>
                <c:pt idx="0">
                  <c:v>1133.7664898560004</c:v>
                </c:pt>
                <c:pt idx="1">
                  <c:v>33060.340098944231</c:v>
                </c:pt>
                <c:pt idx="2">
                  <c:v>67928.628273318027</c:v>
                </c:pt>
                <c:pt idx="3">
                  <c:v>94.718471513763888</c:v>
                </c:pt>
                <c:pt idx="4">
                  <c:v>4097.6358248577562</c:v>
                </c:pt>
                <c:pt idx="5">
                  <c:v>43484.081865794498</c:v>
                </c:pt>
                <c:pt idx="6">
                  <c:v>65226.122798691737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BALANCE DE ENERGÍA ESPERADO</a:t>
            </a:r>
          </a:p>
        </c:rich>
      </c:tx>
      <c:layout>
        <c:manualLayout>
          <c:xMode val="edge"/>
          <c:yMode val="edge"/>
          <c:x val="0.14716476229944939"/>
          <c:y val="3.1511333810546418E-3"/>
        </c:manualLayout>
      </c:layout>
      <c:spPr>
        <a:noFill/>
        <a:ln w="25400">
          <a:noFill/>
        </a:ln>
      </c:spPr>
    </c:title>
    <c:view3D>
      <c:rotX val="30"/>
      <c:rotY val="100"/>
      <c:perspective val="30"/>
    </c:view3D>
    <c:plotArea>
      <c:layout>
        <c:manualLayout>
          <c:layoutTarget val="inner"/>
          <c:xMode val="edge"/>
          <c:yMode val="edge"/>
          <c:x val="0.22209056144006997"/>
          <c:y val="0.27721377324871532"/>
          <c:w val="0.69309503112032944"/>
          <c:h val="0.53283120508812865"/>
        </c:manualLayout>
      </c:layout>
      <c:pie3DChart>
        <c:varyColors val="1"/>
        <c:ser>
          <c:idx val="0"/>
          <c:order val="0"/>
          <c:tx>
            <c:strRef>
              <c:f>Ejemplo!$A$260:$I$260</c:f>
              <c:strCache>
                <c:ptCount val="1"/>
                <c:pt idx="0">
                  <c:v>5.3  BALANCE DE ENERGÍA ESPERADO</c:v>
                </c:pt>
              </c:strCache>
            </c:strRef>
          </c:tx>
          <c:explosion val="53"/>
          <c:dPt>
            <c:idx val="0"/>
            <c:explosion val="42"/>
          </c:dPt>
          <c:dPt>
            <c:idx val="1"/>
            <c:explosion val="27"/>
            <c:spPr>
              <a:solidFill>
                <a:srgbClr val="FFFF00"/>
              </a:solidFill>
            </c:spPr>
          </c:dPt>
          <c:dPt>
            <c:idx val="2"/>
            <c:explosion val="28"/>
          </c:dPt>
          <c:dPt>
            <c:idx val="3"/>
            <c:explosion val="34"/>
          </c:dPt>
          <c:dPt>
            <c:idx val="4"/>
            <c:explosion val="31"/>
            <c:spPr>
              <a:solidFill>
                <a:srgbClr val="FF0000"/>
              </a:solidFill>
            </c:spPr>
          </c:dPt>
          <c:dPt>
            <c:idx val="5"/>
            <c:explosion val="34"/>
          </c:dPt>
          <c:dPt>
            <c:idx val="6"/>
            <c:explosion val="26"/>
          </c:dPt>
          <c:dPt>
            <c:idx val="7"/>
            <c:explosion val="29"/>
            <c:spPr>
              <a:solidFill>
                <a:schemeClr val="bg1"/>
              </a:solidFill>
              <a:ln w="3810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9.834192177965872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2821195414378703E-3"/>
                  <c:y val="6.850148592891343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2802314187615048E-2"/>
                  <c:y val="4.380066870876595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709240164886921E-2"/>
                  <c:y val="-8.1510088503654446E-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4260828404610087"/>
                  <c:y val="4.9024242730521814E-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9.0256581444903533E-2"/>
                  <c:y val="-4.1561179027128185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4845667295514364"/>
                  <c:y val="-3.0206008597684179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7.936459880552299E-2"/>
                  <c:y val="-8.2513885243576585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Ahorros
25.0%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Ejemplo!$B$266:$B$273</c:f>
              <c:strCache>
                <c:ptCount val="8"/>
                <c:pt idx="0">
                  <c:v>Pérdidas eléctricas</c:v>
                </c:pt>
                <c:pt idx="1">
                  <c:v>Pérdidas en el motor</c:v>
                </c:pt>
                <c:pt idx="2">
                  <c:v>Pérdidas en la bomba</c:v>
                </c:pt>
                <c:pt idx="3">
                  <c:v>Pérdidas en succión y descarga</c:v>
                </c:pt>
                <c:pt idx="4">
                  <c:v>Pérdidas de carga</c:v>
                </c:pt>
                <c:pt idx="5">
                  <c:v>Pérdidas por fugas</c:v>
                </c:pt>
                <c:pt idx="6">
                  <c:v>Trabajo util</c:v>
                </c:pt>
                <c:pt idx="7">
                  <c:v>Ahorros</c:v>
                </c:pt>
              </c:strCache>
            </c:strRef>
          </c:cat>
          <c:val>
            <c:numRef>
              <c:f>Ejemplo!$G$266:$G$273</c:f>
              <c:numCache>
                <c:formatCode>#,##0</c:formatCode>
                <c:ptCount val="8"/>
                <c:pt idx="0">
                  <c:v>585.2672063375619</c:v>
                </c:pt>
                <c:pt idx="1">
                  <c:v>16047.839228675148</c:v>
                </c:pt>
                <c:pt idx="2">
                  <c:v>31844.311501780379</c:v>
                </c:pt>
                <c:pt idx="3">
                  <c:v>94.718471513763888</c:v>
                </c:pt>
                <c:pt idx="4">
                  <c:v>4097.6358248577562</c:v>
                </c:pt>
                <c:pt idx="5">
                  <c:v>43484.081865794498</c:v>
                </c:pt>
                <c:pt idx="6">
                  <c:v>65226.122798691737</c:v>
                </c:pt>
                <c:pt idx="7">
                  <c:v>53645.316925325198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'[1]ANALYSIS #3'!$B$127:$B$134</c:f>
              <c:strCache>
                <c:ptCount val="8"/>
                <c:pt idx="0">
                  <c:v>Electrical Loses</c:v>
                </c:pt>
                <c:pt idx="1">
                  <c:v>Motor Losses</c:v>
                </c:pt>
                <c:pt idx="2">
                  <c:v>Pump Losses</c:v>
                </c:pt>
                <c:pt idx="3">
                  <c:v>Suction pipe losses</c:v>
                </c:pt>
                <c:pt idx="4">
                  <c:v>Network head losses </c:v>
                </c:pt>
                <c:pt idx="5">
                  <c:v>Leakages Losses</c:v>
                </c:pt>
                <c:pt idx="6">
                  <c:v>Useful Work</c:v>
                </c:pt>
                <c:pt idx="7">
                  <c:v>Savings</c:v>
                </c:pt>
              </c:strCache>
            </c:strRef>
          </c:cat>
          <c:val>
            <c:numRef>
              <c:f>[2]ANALYSIS!$H$70:$H$76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explosion val="25"/>
          <c:cat>
            <c:strRef>
              <c:f>'[1]ANALYSIS #3'!$B$127:$B$134</c:f>
              <c:strCache>
                <c:ptCount val="8"/>
                <c:pt idx="0">
                  <c:v>Electrical Loses</c:v>
                </c:pt>
                <c:pt idx="1">
                  <c:v>Motor Losses</c:v>
                </c:pt>
                <c:pt idx="2">
                  <c:v>Pump Losses</c:v>
                </c:pt>
                <c:pt idx="3">
                  <c:v>Suction pipe losses</c:v>
                </c:pt>
                <c:pt idx="4">
                  <c:v>Network head losses </c:v>
                </c:pt>
                <c:pt idx="5">
                  <c:v>Leakages Losses</c:v>
                </c:pt>
                <c:pt idx="6">
                  <c:v>Useful Work</c:v>
                </c:pt>
                <c:pt idx="7">
                  <c:v>Savings</c:v>
                </c:pt>
              </c:strCache>
            </c:strRef>
          </c:cat>
          <c:val>
            <c:numRef>
              <c:f>[2]ANALYSIS!$I$70:$I$76</c:f>
              <c:numCache>
                <c:formatCode>General</c:formatCode>
                <c:ptCount val="7"/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188</xdr:row>
      <xdr:rowOff>76200</xdr:rowOff>
    </xdr:from>
    <xdr:to>
      <xdr:col>19</xdr:col>
      <xdr:colOff>390525</xdr:colOff>
      <xdr:row>202</xdr:row>
      <xdr:rowOff>0</xdr:rowOff>
    </xdr:to>
    <xdr:graphicFrame macro="">
      <xdr:nvGraphicFramePr>
        <xdr:cNvPr id="95425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104775</xdr:colOff>
      <xdr:row>260</xdr:row>
      <xdr:rowOff>19050</xdr:rowOff>
    </xdr:from>
    <xdr:to>
      <xdr:col>19</xdr:col>
      <xdr:colOff>381000</xdr:colOff>
      <xdr:row>272</xdr:row>
      <xdr:rowOff>190500</xdr:rowOff>
    </xdr:to>
    <xdr:graphicFrame macro="">
      <xdr:nvGraphicFramePr>
        <xdr:cNvPr id="95426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466725</xdr:colOff>
      <xdr:row>92</xdr:row>
      <xdr:rowOff>66675</xdr:rowOff>
    </xdr:from>
    <xdr:to>
      <xdr:col>12</xdr:col>
      <xdr:colOff>219075</xdr:colOff>
      <xdr:row>109</xdr:row>
      <xdr:rowOff>76200</xdr:rowOff>
    </xdr:to>
    <xdr:pic>
      <xdr:nvPicPr>
        <xdr:cNvPr id="95427" name="Picture 6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14468475"/>
          <a:ext cx="3438525" cy="2762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198054</xdr:colOff>
      <xdr:row>99</xdr:row>
      <xdr:rowOff>82379</xdr:rowOff>
    </xdr:from>
    <xdr:to>
      <xdr:col>7</xdr:col>
      <xdr:colOff>352425</xdr:colOff>
      <xdr:row>100</xdr:row>
      <xdr:rowOff>136955</xdr:rowOff>
    </xdr:to>
    <xdr:sp macro="" textlink="">
      <xdr:nvSpPr>
        <xdr:cNvPr id="33" name="TextBox 55"/>
        <xdr:cNvSpPr txBox="1">
          <a:spLocks noChangeArrowheads="1"/>
        </xdr:cNvSpPr>
      </xdr:nvSpPr>
      <xdr:spPr bwMode="auto">
        <a:xfrm>
          <a:off x="2255454" y="14217479"/>
          <a:ext cx="1154496" cy="216501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Dynamic  level</a:t>
          </a:r>
        </a:p>
      </xdr:txBody>
    </xdr:sp>
    <xdr:clientData/>
  </xdr:twoCellAnchor>
  <xdr:twoCellAnchor>
    <xdr:from>
      <xdr:col>7</xdr:col>
      <xdr:colOff>142875</xdr:colOff>
      <xdr:row>100</xdr:row>
      <xdr:rowOff>38100</xdr:rowOff>
    </xdr:from>
    <xdr:to>
      <xdr:col>8</xdr:col>
      <xdr:colOff>57150</xdr:colOff>
      <xdr:row>100</xdr:row>
      <xdr:rowOff>38100</xdr:rowOff>
    </xdr:to>
    <xdr:sp macro="" textlink="">
      <xdr:nvSpPr>
        <xdr:cNvPr id="95429" name="Line 653"/>
        <xdr:cNvSpPr>
          <a:spLocks noChangeShapeType="1"/>
        </xdr:cNvSpPr>
      </xdr:nvSpPr>
      <xdr:spPr bwMode="auto">
        <a:xfrm flipV="1">
          <a:off x="3371850" y="1573530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95907</xdr:colOff>
      <xdr:row>92</xdr:row>
      <xdr:rowOff>118935</xdr:rowOff>
    </xdr:from>
    <xdr:to>
      <xdr:col>6</xdr:col>
      <xdr:colOff>502526</xdr:colOff>
      <xdr:row>94</xdr:row>
      <xdr:rowOff>71310</xdr:rowOff>
    </xdr:to>
    <xdr:sp macro="" textlink="">
      <xdr:nvSpPr>
        <xdr:cNvPr id="35" name="TextBox 55"/>
        <xdr:cNvSpPr txBox="1">
          <a:spLocks noChangeArrowheads="1"/>
        </xdr:cNvSpPr>
      </xdr:nvSpPr>
      <xdr:spPr bwMode="auto">
        <a:xfrm>
          <a:off x="2153307" y="13120560"/>
          <a:ext cx="892394" cy="2762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Pressure gauge</a:t>
          </a:r>
        </a:p>
      </xdr:txBody>
    </xdr:sp>
    <xdr:clientData/>
  </xdr:twoCellAnchor>
  <xdr:twoCellAnchor>
    <xdr:from>
      <xdr:col>7</xdr:col>
      <xdr:colOff>19050</xdr:colOff>
      <xdr:row>93</xdr:row>
      <xdr:rowOff>95250</xdr:rowOff>
    </xdr:from>
    <xdr:to>
      <xdr:col>7</xdr:col>
      <xdr:colOff>228600</xdr:colOff>
      <xdr:row>93</xdr:row>
      <xdr:rowOff>133350</xdr:rowOff>
    </xdr:to>
    <xdr:sp macro="" textlink="">
      <xdr:nvSpPr>
        <xdr:cNvPr id="95431" name="Line 655" hidden="1"/>
        <xdr:cNvSpPr>
          <a:spLocks noChangeShapeType="1"/>
        </xdr:cNvSpPr>
      </xdr:nvSpPr>
      <xdr:spPr bwMode="auto">
        <a:xfrm flipH="1" flipV="1">
          <a:off x="3248025" y="14658975"/>
          <a:ext cx="2095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21</xdr:row>
      <xdr:rowOff>161924</xdr:rowOff>
    </xdr:from>
    <xdr:to>
      <xdr:col>18</xdr:col>
      <xdr:colOff>333376</xdr:colOff>
      <xdr:row>43</xdr:row>
      <xdr:rowOff>38099</xdr:rowOff>
    </xdr:to>
    <xdr:sp macro="" textlink="">
      <xdr:nvSpPr>
        <xdr:cNvPr id="18" name="Rectangle 242"/>
        <xdr:cNvSpPr>
          <a:spLocks noChangeArrowheads="1"/>
        </xdr:cNvSpPr>
      </xdr:nvSpPr>
      <xdr:spPr bwMode="auto">
        <a:xfrm>
          <a:off x="3467100" y="1819274"/>
          <a:ext cx="3810001" cy="3000375"/>
        </a:xfrm>
        <a:prstGeom prst="rect">
          <a:avLst/>
        </a:prstGeom>
        <a:solidFill>
          <a:srgbClr val="FFFF99"/>
        </a:solidFill>
        <a:ln w="3175">
          <a:solidFill>
            <a:schemeClr val="dk1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11</xdr:col>
      <xdr:colOff>95250</xdr:colOff>
      <xdr:row>22</xdr:row>
      <xdr:rowOff>76200</xdr:rowOff>
    </xdr:from>
    <xdr:to>
      <xdr:col>15</xdr:col>
      <xdr:colOff>190500</xdr:colOff>
      <xdr:row>23</xdr:row>
      <xdr:rowOff>142875</xdr:rowOff>
    </xdr:to>
    <xdr:sp macro="" textlink="">
      <xdr:nvSpPr>
        <xdr:cNvPr id="19" name="18 CuadroTexto"/>
        <xdr:cNvSpPr txBox="1"/>
      </xdr:nvSpPr>
      <xdr:spPr>
        <a:xfrm>
          <a:off x="4619625" y="1895475"/>
          <a:ext cx="14001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DIAGRAMA UNIFILAR</a:t>
          </a:r>
        </a:p>
      </xdr:txBody>
    </xdr:sp>
    <xdr:clientData/>
  </xdr:twoCellAnchor>
  <xdr:twoCellAnchor>
    <xdr:from>
      <xdr:col>14</xdr:col>
      <xdr:colOff>76200</xdr:colOff>
      <xdr:row>32</xdr:row>
      <xdr:rowOff>0</xdr:rowOff>
    </xdr:from>
    <xdr:to>
      <xdr:col>17</xdr:col>
      <xdr:colOff>190500</xdr:colOff>
      <xdr:row>35</xdr:row>
      <xdr:rowOff>76200</xdr:rowOff>
    </xdr:to>
    <xdr:sp macro="" textlink="">
      <xdr:nvSpPr>
        <xdr:cNvPr id="20" name="19 CuadroTexto"/>
        <xdr:cNvSpPr txBox="1"/>
      </xdr:nvSpPr>
      <xdr:spPr>
        <a:xfrm>
          <a:off x="5895975" y="5133975"/>
          <a:ext cx="9906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s-ES" sz="1100"/>
            <a:t>ATP111-2</a:t>
          </a:r>
        </a:p>
        <a:p>
          <a:pPr algn="l"/>
          <a:r>
            <a:rPr lang="es-ES" sz="1100"/>
            <a:t>150 HP.</a:t>
          </a:r>
        </a:p>
        <a:p>
          <a:pPr algn="l"/>
          <a:r>
            <a:rPr lang="es-ES" sz="1100"/>
            <a:t>Submonitor</a:t>
          </a:r>
        </a:p>
      </xdr:txBody>
    </xdr:sp>
    <xdr:clientData/>
  </xdr:twoCellAnchor>
  <xdr:twoCellAnchor>
    <xdr:from>
      <xdr:col>13</xdr:col>
      <xdr:colOff>174761</xdr:colOff>
      <xdr:row>29</xdr:row>
      <xdr:rowOff>28161</xdr:rowOff>
    </xdr:from>
    <xdr:to>
      <xdr:col>18</xdr:col>
      <xdr:colOff>142874</xdr:colOff>
      <xdr:row>30</xdr:row>
      <xdr:rowOff>129623</xdr:rowOff>
    </xdr:to>
    <xdr:sp macro="" textlink="">
      <xdr:nvSpPr>
        <xdr:cNvPr id="21" name="20 CuadroTexto"/>
        <xdr:cNvSpPr txBox="1"/>
      </xdr:nvSpPr>
      <xdr:spPr>
        <a:xfrm>
          <a:off x="5594486" y="2980911"/>
          <a:ext cx="1492113" cy="263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300 A SIEMENS</a:t>
          </a:r>
        </a:p>
      </xdr:txBody>
    </xdr:sp>
    <xdr:clientData/>
  </xdr:twoCellAnchor>
  <xdr:twoCellAnchor>
    <xdr:from>
      <xdr:col>12</xdr:col>
      <xdr:colOff>314324</xdr:colOff>
      <xdr:row>35</xdr:row>
      <xdr:rowOff>142874</xdr:rowOff>
    </xdr:from>
    <xdr:to>
      <xdr:col>14</xdr:col>
      <xdr:colOff>104775</xdr:colOff>
      <xdr:row>38</xdr:row>
      <xdr:rowOff>104775</xdr:rowOff>
    </xdr:to>
    <xdr:sp macro="" textlink="">
      <xdr:nvSpPr>
        <xdr:cNvPr id="22" name="21 CuadroTexto"/>
        <xdr:cNvSpPr txBox="1"/>
      </xdr:nvSpPr>
      <xdr:spPr>
        <a:xfrm>
          <a:off x="5486399" y="5762624"/>
          <a:ext cx="438151" cy="23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P37</a:t>
          </a:r>
        </a:p>
      </xdr:txBody>
    </xdr:sp>
    <xdr:clientData/>
  </xdr:twoCellAnchor>
  <xdr:twoCellAnchor>
    <xdr:from>
      <xdr:col>12</xdr:col>
      <xdr:colOff>332133</xdr:colOff>
      <xdr:row>35</xdr:row>
      <xdr:rowOff>69159</xdr:rowOff>
    </xdr:from>
    <xdr:to>
      <xdr:col>14</xdr:col>
      <xdr:colOff>84483</xdr:colOff>
      <xdr:row>38</xdr:row>
      <xdr:rowOff>154884</xdr:rowOff>
    </xdr:to>
    <xdr:sp macro="" textlink="">
      <xdr:nvSpPr>
        <xdr:cNvPr id="23" name="22 Elipse"/>
        <xdr:cNvSpPr/>
      </xdr:nvSpPr>
      <xdr:spPr>
        <a:xfrm>
          <a:off x="5332758" y="3993459"/>
          <a:ext cx="400050" cy="4381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9</xdr:col>
      <xdr:colOff>133350</xdr:colOff>
      <xdr:row>23</xdr:row>
      <xdr:rowOff>133350</xdr:rowOff>
    </xdr:from>
    <xdr:to>
      <xdr:col>16</xdr:col>
      <xdr:colOff>228600</xdr:colOff>
      <xdr:row>29</xdr:row>
      <xdr:rowOff>95250</xdr:rowOff>
    </xdr:to>
    <xdr:grpSp>
      <xdr:nvGrpSpPr>
        <xdr:cNvPr id="95438" name="286 Grupo"/>
        <xdr:cNvGrpSpPr>
          <a:grpSpLocks/>
        </xdr:cNvGrpSpPr>
      </xdr:nvGrpSpPr>
      <xdr:grpSpPr bwMode="auto">
        <a:xfrm>
          <a:off x="4152900" y="3981450"/>
          <a:ext cx="2314575" cy="838200"/>
          <a:chOff x="2641476" y="2053540"/>
          <a:chExt cx="2335038" cy="945985"/>
        </a:xfrm>
      </xdr:grpSpPr>
      <xdr:grpSp>
        <xdr:nvGrpSpPr>
          <xdr:cNvPr id="95483" name="638 Grupo"/>
          <xdr:cNvGrpSpPr>
            <a:grpSpLocks/>
          </xdr:cNvGrpSpPr>
        </xdr:nvGrpSpPr>
        <xdr:grpSpPr bwMode="auto">
          <a:xfrm>
            <a:off x="2641462" y="2100567"/>
            <a:ext cx="1566297" cy="345560"/>
            <a:chOff x="4557827" y="2108267"/>
            <a:chExt cx="1551897" cy="345560"/>
          </a:xfrm>
        </xdr:grpSpPr>
        <xdr:cxnSp macro="">
          <xdr:nvCxnSpPr>
            <xdr:cNvPr id="63" name="62 Conector recto"/>
            <xdr:cNvCxnSpPr/>
          </xdr:nvCxnSpPr>
          <xdr:spPr>
            <a:xfrm>
              <a:off x="4557841" y="2276236"/>
              <a:ext cx="495085" cy="0"/>
            </a:xfrm>
            <a:prstGeom prst="line">
              <a:avLst/>
            </a:prstGeom>
            <a:ln w="63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" name="63 Conector recto"/>
            <xdr:cNvCxnSpPr/>
          </xdr:nvCxnSpPr>
          <xdr:spPr>
            <a:xfrm rot="5400000" flipH="1" flipV="1">
              <a:off x="4985355" y="2162290"/>
              <a:ext cx="182747" cy="66646"/>
            </a:xfrm>
            <a:prstGeom prst="line">
              <a:avLst/>
            </a:prstGeom>
            <a:ln w="63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5" name="64 Conector recto"/>
            <xdr:cNvCxnSpPr/>
          </xdr:nvCxnSpPr>
          <xdr:spPr>
            <a:xfrm rot="16200000" flipH="1">
              <a:off x="4961241" y="2253049"/>
              <a:ext cx="354744" cy="57125"/>
            </a:xfrm>
            <a:prstGeom prst="line">
              <a:avLst/>
            </a:prstGeom>
            <a:ln w="63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6" name="65 Conector recto"/>
            <xdr:cNvCxnSpPr/>
          </xdr:nvCxnSpPr>
          <xdr:spPr>
            <a:xfrm rot="5400000" flipH="1" flipV="1">
              <a:off x="5089470" y="2343193"/>
              <a:ext cx="193497" cy="38083"/>
            </a:xfrm>
            <a:prstGeom prst="line">
              <a:avLst/>
            </a:prstGeom>
            <a:ln w="63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" name="66 Conector recto"/>
            <xdr:cNvCxnSpPr/>
          </xdr:nvCxnSpPr>
          <xdr:spPr>
            <a:xfrm>
              <a:off x="5205260" y="2265487"/>
              <a:ext cx="552210" cy="0"/>
            </a:xfrm>
            <a:prstGeom prst="line">
              <a:avLst/>
            </a:prstGeom>
            <a:ln w="63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68" name="67 Triángulo isósceles"/>
            <xdr:cNvSpPr/>
          </xdr:nvSpPr>
          <xdr:spPr>
            <a:xfrm rot="5400000">
              <a:off x="5727982" y="2199455"/>
              <a:ext cx="182747" cy="142813"/>
            </a:xfrm>
            <a:prstGeom prst="triangle">
              <a:avLst/>
            </a:prstGeom>
            <a:noFill/>
            <a:ln w="63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endParaRPr lang="en-US"/>
            </a:p>
          </xdr:txBody>
        </xdr:sp>
        <xdr:cxnSp macro="">
          <xdr:nvCxnSpPr>
            <xdr:cNvPr id="69" name="68 Conector recto"/>
            <xdr:cNvCxnSpPr>
              <a:stCxn id="68" idx="0"/>
            </xdr:cNvCxnSpPr>
          </xdr:nvCxnSpPr>
          <xdr:spPr>
            <a:xfrm>
              <a:off x="5890762" y="2265487"/>
              <a:ext cx="218980" cy="1075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5484" name="492 Grupo"/>
          <xdr:cNvGrpSpPr>
            <a:grpSpLocks/>
          </xdr:cNvGrpSpPr>
        </xdr:nvGrpSpPr>
        <xdr:grpSpPr bwMode="auto">
          <a:xfrm>
            <a:off x="3823439" y="2381737"/>
            <a:ext cx="1153070" cy="617785"/>
            <a:chOff x="4865214" y="2143617"/>
            <a:chExt cx="1153070" cy="617785"/>
          </a:xfrm>
        </xdr:grpSpPr>
        <xdr:cxnSp macro="">
          <xdr:nvCxnSpPr>
            <xdr:cNvPr id="39" name="38 Conector recto"/>
            <xdr:cNvCxnSpPr>
              <a:stCxn id="51" idx="0"/>
            </xdr:cNvCxnSpPr>
          </xdr:nvCxnSpPr>
          <xdr:spPr>
            <a:xfrm rot="16200000" flipH="1">
              <a:off x="4909152" y="2438911"/>
              <a:ext cx="257996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39 Conector recto"/>
            <xdr:cNvCxnSpPr/>
          </xdr:nvCxnSpPr>
          <xdr:spPr>
            <a:xfrm>
              <a:off x="5038150" y="2567908"/>
              <a:ext cx="96092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95487" name="491 Grupo"/>
            <xdr:cNvGrpSpPr>
              <a:grpSpLocks/>
            </xdr:cNvGrpSpPr>
          </xdr:nvGrpSpPr>
          <xdr:grpSpPr bwMode="auto">
            <a:xfrm>
              <a:off x="4865214" y="2143617"/>
              <a:ext cx="1153070" cy="617785"/>
              <a:chOff x="4865214" y="2143617"/>
              <a:chExt cx="1153070" cy="617785"/>
            </a:xfrm>
          </xdr:grpSpPr>
          <xdr:grpSp>
            <xdr:nvGrpSpPr>
              <xdr:cNvPr id="95488" name="642 Grupo"/>
              <xdr:cNvGrpSpPr>
                <a:grpSpLocks/>
              </xdr:cNvGrpSpPr>
            </xdr:nvGrpSpPr>
            <xdr:grpSpPr bwMode="auto">
              <a:xfrm>
                <a:off x="5038145" y="2143617"/>
                <a:ext cx="980139" cy="617785"/>
                <a:chOff x="5221749" y="2332920"/>
                <a:chExt cx="983288" cy="622151"/>
              </a:xfrm>
            </xdr:grpSpPr>
            <xdr:sp macro="" textlink="">
              <xdr:nvSpPr>
                <xdr:cNvPr id="49" name="48 CuadroTexto"/>
                <xdr:cNvSpPr txBox="1"/>
              </xdr:nvSpPr>
              <xdr:spPr>
                <a:xfrm>
                  <a:off x="5549516" y="2554520"/>
                  <a:ext cx="655526" cy="368077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wrap="square" rtlCol="0" anchor="t"/>
                <a:lstStyle/>
                <a:p>
                  <a:r>
                    <a:rPr lang="es-ES" sz="800"/>
                    <a:t>EQUIPO DE MEDICIÓN</a:t>
                  </a:r>
                </a:p>
              </xdr:txBody>
            </xdr:sp>
            <xdr:cxnSp macro="">
              <xdr:nvCxnSpPr>
                <xdr:cNvPr id="50" name="49 Conector recto"/>
                <xdr:cNvCxnSpPr/>
              </xdr:nvCxnSpPr>
              <xdr:spPr>
                <a:xfrm rot="5400000" flipH="1" flipV="1">
                  <a:off x="5404399" y="2906359"/>
                  <a:ext cx="97432" cy="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1" name="50 Arco"/>
                <xdr:cNvSpPr/>
              </xdr:nvSpPr>
              <xdr:spPr>
                <a:xfrm>
                  <a:off x="5221753" y="2467913"/>
                  <a:ext cx="106041" cy="75781"/>
                </a:xfrm>
                <a:prstGeom prst="arc">
                  <a:avLst>
                    <a:gd name="adj1" fmla="val 10443211"/>
                    <a:gd name="adj2" fmla="val 0"/>
                  </a:avLst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rtlCol="0" anchor="ctr"/>
                <a:lstStyle/>
                <a:p>
                  <a:endParaRPr lang="en-US"/>
                </a:p>
              </xdr:txBody>
            </xdr:sp>
            <xdr:sp macro="" textlink="">
              <xdr:nvSpPr>
                <xdr:cNvPr id="52" name="51 Arco"/>
                <xdr:cNvSpPr/>
              </xdr:nvSpPr>
              <xdr:spPr>
                <a:xfrm rot="10800000">
                  <a:off x="5221753" y="2348830"/>
                  <a:ext cx="106041" cy="75781"/>
                </a:xfrm>
                <a:prstGeom prst="arc">
                  <a:avLst>
                    <a:gd name="adj1" fmla="val 10443211"/>
                    <a:gd name="adj2" fmla="val 0"/>
                  </a:avLst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rtlCol="0" anchor="ctr"/>
                <a:lstStyle/>
                <a:p>
                  <a:endParaRPr lang="en-US"/>
                </a:p>
              </xdr:txBody>
            </xdr:sp>
            <xdr:sp macro="" textlink="">
              <xdr:nvSpPr>
                <xdr:cNvPr id="53" name="52 Arco"/>
                <xdr:cNvSpPr/>
              </xdr:nvSpPr>
              <xdr:spPr>
                <a:xfrm>
                  <a:off x="5327794" y="2467913"/>
                  <a:ext cx="106041" cy="75781"/>
                </a:xfrm>
                <a:prstGeom prst="arc">
                  <a:avLst>
                    <a:gd name="adj1" fmla="val 10443211"/>
                    <a:gd name="adj2" fmla="val 0"/>
                  </a:avLst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rtlCol="0" anchor="ctr"/>
                <a:lstStyle/>
                <a:p>
                  <a:endParaRPr lang="en-US"/>
                </a:p>
              </xdr:txBody>
            </xdr:sp>
            <xdr:sp macro="" textlink="">
              <xdr:nvSpPr>
                <xdr:cNvPr id="54" name="53 Arco"/>
                <xdr:cNvSpPr/>
              </xdr:nvSpPr>
              <xdr:spPr>
                <a:xfrm rot="10800000">
                  <a:off x="5327794" y="2348830"/>
                  <a:ext cx="106041" cy="75781"/>
                </a:xfrm>
                <a:prstGeom prst="arc">
                  <a:avLst>
                    <a:gd name="adj1" fmla="val 10443211"/>
                    <a:gd name="adj2" fmla="val 0"/>
                  </a:avLst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rtlCol="0" anchor="ctr"/>
                <a:lstStyle/>
                <a:p>
                  <a:endParaRPr lang="en-US"/>
                </a:p>
              </xdr:txBody>
            </xdr:sp>
            <xdr:sp macro="" textlink="">
              <xdr:nvSpPr>
                <xdr:cNvPr id="55" name="54 Arco"/>
                <xdr:cNvSpPr/>
              </xdr:nvSpPr>
              <xdr:spPr>
                <a:xfrm>
                  <a:off x="5433835" y="2457088"/>
                  <a:ext cx="106041" cy="75781"/>
                </a:xfrm>
                <a:prstGeom prst="arc">
                  <a:avLst>
                    <a:gd name="adj1" fmla="val 10443211"/>
                    <a:gd name="adj2" fmla="val 0"/>
                  </a:avLst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rtlCol="0" anchor="ctr"/>
                <a:lstStyle/>
                <a:p>
                  <a:endParaRPr lang="en-US"/>
                </a:p>
              </xdr:txBody>
            </xdr:sp>
            <xdr:sp macro="" textlink="">
              <xdr:nvSpPr>
                <xdr:cNvPr id="56" name="55 Arco"/>
                <xdr:cNvSpPr/>
              </xdr:nvSpPr>
              <xdr:spPr>
                <a:xfrm rot="10800000">
                  <a:off x="5424195" y="2348830"/>
                  <a:ext cx="106041" cy="75781"/>
                </a:xfrm>
                <a:prstGeom prst="arc">
                  <a:avLst>
                    <a:gd name="adj1" fmla="val 10443211"/>
                    <a:gd name="adj2" fmla="val 0"/>
                  </a:avLst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rtlCol="0" anchor="ctr"/>
                <a:lstStyle/>
                <a:p>
                  <a:endParaRPr lang="en-US"/>
                </a:p>
              </xdr:txBody>
            </xdr:sp>
            <xdr:sp macro="" textlink="">
              <xdr:nvSpPr>
                <xdr:cNvPr id="57" name="56 Arco"/>
                <xdr:cNvSpPr/>
              </xdr:nvSpPr>
              <xdr:spPr>
                <a:xfrm>
                  <a:off x="5539876" y="2457088"/>
                  <a:ext cx="96401" cy="75781"/>
                </a:xfrm>
                <a:prstGeom prst="arc">
                  <a:avLst>
                    <a:gd name="adj1" fmla="val 10443211"/>
                    <a:gd name="adj2" fmla="val 0"/>
                  </a:avLst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rtlCol="0" anchor="ctr"/>
                <a:lstStyle/>
                <a:p>
                  <a:endParaRPr lang="en-US"/>
                </a:p>
              </xdr:txBody>
            </xdr:sp>
            <xdr:sp macro="" textlink="">
              <xdr:nvSpPr>
                <xdr:cNvPr id="58" name="57 Arco"/>
                <xdr:cNvSpPr/>
              </xdr:nvSpPr>
              <xdr:spPr>
                <a:xfrm rot="10800000">
                  <a:off x="5530236" y="2348830"/>
                  <a:ext cx="106041" cy="64955"/>
                </a:xfrm>
                <a:prstGeom prst="arc">
                  <a:avLst>
                    <a:gd name="adj1" fmla="val 10443211"/>
                    <a:gd name="adj2" fmla="val 0"/>
                  </a:avLst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rtlCol="0" anchor="ctr"/>
                <a:lstStyle/>
                <a:p>
                  <a:endParaRPr lang="en-US"/>
                </a:p>
              </xdr:txBody>
            </xdr:sp>
            <xdr:cxnSp macro="">
              <xdr:nvCxnSpPr>
                <xdr:cNvPr id="59" name="58 Conector recto"/>
                <xdr:cNvCxnSpPr/>
              </xdr:nvCxnSpPr>
              <xdr:spPr>
                <a:xfrm rot="16200000" flipV="1">
                  <a:off x="5407364" y="2354835"/>
                  <a:ext cx="43303" cy="964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0" name="59 Conector recto"/>
                <xdr:cNvCxnSpPr/>
              </xdr:nvCxnSpPr>
              <xdr:spPr>
                <a:xfrm rot="5400000">
                  <a:off x="5358054" y="2576171"/>
                  <a:ext cx="151561" cy="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1" name="60 CuadroTexto"/>
                <xdr:cNvSpPr txBox="1"/>
              </xdr:nvSpPr>
              <xdr:spPr>
                <a:xfrm>
                  <a:off x="5279594" y="2651952"/>
                  <a:ext cx="356683" cy="75781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solidFill>
                    <a:schemeClr val="bg1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wrap="square" rtlCol="0" anchor="t"/>
                <a:lstStyle/>
                <a:p>
                  <a:r>
                    <a:rPr lang="es-ES" sz="900"/>
                    <a:t>EM</a:t>
                  </a:r>
                </a:p>
              </xdr:txBody>
            </xdr:sp>
            <xdr:sp macro="" textlink="">
              <xdr:nvSpPr>
                <xdr:cNvPr id="62" name="61 Elipse"/>
                <xdr:cNvSpPr/>
              </xdr:nvSpPr>
              <xdr:spPr>
                <a:xfrm>
                  <a:off x="5337434" y="2641126"/>
                  <a:ext cx="231362" cy="216516"/>
                </a:xfrm>
                <a:prstGeom prst="ellipse">
                  <a:avLst/>
                </a:prstGeom>
                <a:noFill/>
                <a:ln w="3175"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tlCol="0" anchor="ctr"/>
                <a:lstStyle/>
                <a:p>
                  <a:endParaRPr lang="en-US"/>
                </a:p>
              </xdr:txBody>
            </xdr:sp>
          </xdr:grpSp>
          <xdr:grpSp>
            <xdr:nvGrpSpPr>
              <xdr:cNvPr id="95489" name="655 Grupo"/>
              <xdr:cNvGrpSpPr>
                <a:grpSpLocks/>
              </xdr:cNvGrpSpPr>
            </xdr:nvGrpSpPr>
            <xdr:grpSpPr bwMode="auto">
              <a:xfrm>
                <a:off x="4865214" y="2405276"/>
                <a:ext cx="182576" cy="192511"/>
                <a:chOff x="5411761" y="3039564"/>
                <a:chExt cx="184284" cy="192511"/>
              </a:xfrm>
            </xdr:grpSpPr>
            <xdr:cxnSp macro="">
              <xdr:nvCxnSpPr>
                <xdr:cNvPr id="44" name="43 Conector recto"/>
                <xdr:cNvCxnSpPr/>
              </xdr:nvCxnSpPr>
              <xdr:spPr>
                <a:xfrm rot="10800000">
                  <a:off x="5479624" y="3040949"/>
                  <a:ext cx="116389" cy="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5" name="44 Conector recto"/>
                <xdr:cNvCxnSpPr/>
              </xdr:nvCxnSpPr>
              <xdr:spPr>
                <a:xfrm rot="16200000" flipH="1">
                  <a:off x="5409750" y="3110823"/>
                  <a:ext cx="139748" cy="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6" name="45 Conector recto"/>
                <xdr:cNvCxnSpPr/>
              </xdr:nvCxnSpPr>
              <xdr:spPr>
                <a:xfrm>
                  <a:off x="5411730" y="3180697"/>
                  <a:ext cx="145487" cy="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7" name="46 Conector recto"/>
                <xdr:cNvCxnSpPr/>
              </xdr:nvCxnSpPr>
              <xdr:spPr>
                <a:xfrm>
                  <a:off x="5431129" y="3202197"/>
                  <a:ext cx="106690" cy="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8" name="47 Conector recto"/>
                <xdr:cNvCxnSpPr/>
              </xdr:nvCxnSpPr>
              <xdr:spPr>
                <a:xfrm>
                  <a:off x="5469925" y="3234446"/>
                  <a:ext cx="38796" cy="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12</xdr:col>
      <xdr:colOff>28575</xdr:colOff>
      <xdr:row>38</xdr:row>
      <xdr:rowOff>0</xdr:rowOff>
    </xdr:from>
    <xdr:to>
      <xdr:col>12</xdr:col>
      <xdr:colOff>390525</xdr:colOff>
      <xdr:row>39</xdr:row>
      <xdr:rowOff>9525</xdr:rowOff>
    </xdr:to>
    <xdr:grpSp>
      <xdr:nvGrpSpPr>
        <xdr:cNvPr id="95439" name="362 Grupo"/>
        <xdr:cNvGrpSpPr>
          <a:grpSpLocks/>
        </xdr:cNvGrpSpPr>
      </xdr:nvGrpSpPr>
      <xdr:grpSpPr bwMode="auto">
        <a:xfrm>
          <a:off x="5200650" y="5895975"/>
          <a:ext cx="361950" cy="171450"/>
          <a:chOff x="5011614" y="3260481"/>
          <a:chExt cx="432291" cy="236046"/>
        </a:xfrm>
      </xdr:grpSpPr>
      <xdr:cxnSp macro="">
        <xdr:nvCxnSpPr>
          <xdr:cNvPr id="71" name="70 Conector recto"/>
          <xdr:cNvCxnSpPr/>
        </xdr:nvCxnSpPr>
        <xdr:spPr>
          <a:xfrm rot="10800000">
            <a:off x="5079870" y="3260481"/>
            <a:ext cx="36403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71 Conector recto"/>
          <xdr:cNvCxnSpPr/>
        </xdr:nvCxnSpPr>
        <xdr:spPr>
          <a:xfrm rot="5400000">
            <a:off x="4994631" y="3345721"/>
            <a:ext cx="17047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72 Conector recto"/>
          <xdr:cNvCxnSpPr/>
        </xdr:nvCxnSpPr>
        <xdr:spPr>
          <a:xfrm>
            <a:off x="5011614" y="3444072"/>
            <a:ext cx="13651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73 Conector recto"/>
          <xdr:cNvCxnSpPr/>
        </xdr:nvCxnSpPr>
        <xdr:spPr>
          <a:xfrm>
            <a:off x="5034366" y="3470300"/>
            <a:ext cx="10238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74 Conector recto"/>
          <xdr:cNvCxnSpPr/>
        </xdr:nvCxnSpPr>
        <xdr:spPr>
          <a:xfrm>
            <a:off x="5068494" y="3496527"/>
            <a:ext cx="4550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133350</xdr:colOff>
      <xdr:row>33</xdr:row>
      <xdr:rowOff>85725</xdr:rowOff>
    </xdr:from>
    <xdr:to>
      <xdr:col>13</xdr:col>
      <xdr:colOff>76200</xdr:colOff>
      <xdr:row>34</xdr:row>
      <xdr:rowOff>152400</xdr:rowOff>
    </xdr:to>
    <xdr:grpSp>
      <xdr:nvGrpSpPr>
        <xdr:cNvPr id="95440" name="369 Grupo"/>
        <xdr:cNvGrpSpPr>
          <a:grpSpLocks/>
        </xdr:cNvGrpSpPr>
      </xdr:nvGrpSpPr>
      <xdr:grpSpPr bwMode="auto">
        <a:xfrm>
          <a:off x="5305425" y="5381625"/>
          <a:ext cx="361950" cy="228600"/>
          <a:chOff x="5011614" y="3260481"/>
          <a:chExt cx="432291" cy="236046"/>
        </a:xfrm>
      </xdr:grpSpPr>
      <xdr:cxnSp macro="">
        <xdr:nvCxnSpPr>
          <xdr:cNvPr id="77" name="76 Conector recto"/>
          <xdr:cNvCxnSpPr/>
        </xdr:nvCxnSpPr>
        <xdr:spPr>
          <a:xfrm rot="10800000">
            <a:off x="5079870" y="3260481"/>
            <a:ext cx="36403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77 Conector recto"/>
          <xdr:cNvCxnSpPr/>
        </xdr:nvCxnSpPr>
        <xdr:spPr>
          <a:xfrm rot="5400000">
            <a:off x="4991353" y="3348998"/>
            <a:ext cx="17703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78 Conector recto"/>
          <xdr:cNvCxnSpPr/>
        </xdr:nvCxnSpPr>
        <xdr:spPr>
          <a:xfrm>
            <a:off x="5011614" y="3437515"/>
            <a:ext cx="13651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79 Conector recto"/>
          <xdr:cNvCxnSpPr/>
        </xdr:nvCxnSpPr>
        <xdr:spPr>
          <a:xfrm>
            <a:off x="5034366" y="3467021"/>
            <a:ext cx="10238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80 Conector recto"/>
          <xdr:cNvCxnSpPr/>
        </xdr:nvCxnSpPr>
        <xdr:spPr>
          <a:xfrm>
            <a:off x="5068494" y="3496527"/>
            <a:ext cx="4550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200025</xdr:colOff>
      <xdr:row>29</xdr:row>
      <xdr:rowOff>119523</xdr:rowOff>
    </xdr:from>
    <xdr:to>
      <xdr:col>13</xdr:col>
      <xdr:colOff>161925</xdr:colOff>
      <xdr:row>32</xdr:row>
      <xdr:rowOff>11</xdr:rowOff>
    </xdr:to>
    <xdr:grpSp>
      <xdr:nvGrpSpPr>
        <xdr:cNvPr id="95441" name="375 Grupo"/>
        <xdr:cNvGrpSpPr>
          <a:grpSpLocks/>
        </xdr:cNvGrpSpPr>
      </xdr:nvGrpSpPr>
      <xdr:grpSpPr bwMode="auto">
        <a:xfrm>
          <a:off x="4895850" y="4843923"/>
          <a:ext cx="857250" cy="290063"/>
          <a:chOff x="4987712" y="3623289"/>
          <a:chExt cx="873196" cy="305659"/>
        </a:xfrm>
      </xdr:grpSpPr>
      <xdr:grpSp>
        <xdr:nvGrpSpPr>
          <xdr:cNvPr id="95466" name="361 Grupo"/>
          <xdr:cNvGrpSpPr>
            <a:grpSpLocks/>
          </xdr:cNvGrpSpPr>
        </xdr:nvGrpSpPr>
        <xdr:grpSpPr bwMode="auto">
          <a:xfrm>
            <a:off x="5133249" y="3623289"/>
            <a:ext cx="688856" cy="247925"/>
            <a:chOff x="4258213" y="3385040"/>
            <a:chExt cx="684527" cy="247925"/>
          </a:xfrm>
        </xdr:grpSpPr>
        <xdr:cxnSp macro="">
          <xdr:nvCxnSpPr>
            <xdr:cNvPr id="85" name="84 Conector recto"/>
            <xdr:cNvCxnSpPr/>
          </xdr:nvCxnSpPr>
          <xdr:spPr>
            <a:xfrm>
              <a:off x="4354623" y="3389579"/>
              <a:ext cx="588114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6" name="85 Conector recto"/>
            <xdr:cNvCxnSpPr/>
          </xdr:nvCxnSpPr>
          <xdr:spPr>
            <a:xfrm>
              <a:off x="4267852" y="3489949"/>
              <a:ext cx="154259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7" name="86 Arco"/>
            <xdr:cNvSpPr/>
          </xdr:nvSpPr>
          <xdr:spPr>
            <a:xfrm>
              <a:off x="4258211" y="3530098"/>
              <a:ext cx="163901" cy="100371"/>
            </a:xfrm>
            <a:prstGeom prst="arc">
              <a:avLst>
                <a:gd name="adj1" fmla="val 11287803"/>
                <a:gd name="adj2" fmla="val 0"/>
              </a:avLst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rtlCol="0" anchor="ctr"/>
            <a:lstStyle/>
            <a:p>
              <a:endParaRPr lang="en-US"/>
            </a:p>
          </xdr:txBody>
        </xdr:sp>
        <xdr:cxnSp macro="">
          <xdr:nvCxnSpPr>
            <xdr:cNvPr id="88" name="87 Conector recto"/>
            <xdr:cNvCxnSpPr/>
          </xdr:nvCxnSpPr>
          <xdr:spPr>
            <a:xfrm rot="5400000">
              <a:off x="4299814" y="3585302"/>
              <a:ext cx="90334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9" name="88 Conector recto"/>
            <xdr:cNvCxnSpPr/>
          </xdr:nvCxnSpPr>
          <xdr:spPr>
            <a:xfrm rot="5400000">
              <a:off x="4309456" y="3444783"/>
              <a:ext cx="90334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84" name="83 CuadroTexto"/>
          <xdr:cNvSpPr txBox="1"/>
        </xdr:nvSpPr>
        <xdr:spPr>
          <a:xfrm>
            <a:off x="4987712" y="3848651"/>
            <a:ext cx="873196" cy="8029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900"/>
              <a:t>   40  KVAR</a:t>
            </a:r>
          </a:p>
        </xdr:txBody>
      </xdr:sp>
    </xdr:grpSp>
    <xdr:clientData/>
  </xdr:twoCellAnchor>
  <xdr:twoCellAnchor>
    <xdr:from>
      <xdr:col>13</xdr:col>
      <xdr:colOff>38079</xdr:colOff>
      <xdr:row>31</xdr:row>
      <xdr:rowOff>47625</xdr:rowOff>
    </xdr:from>
    <xdr:to>
      <xdr:col>14</xdr:col>
      <xdr:colOff>28552</xdr:colOff>
      <xdr:row>35</xdr:row>
      <xdr:rowOff>66675</xdr:rowOff>
    </xdr:to>
    <xdr:grpSp>
      <xdr:nvGrpSpPr>
        <xdr:cNvPr id="95442" name="384 Grupo"/>
        <xdr:cNvGrpSpPr>
          <a:grpSpLocks/>
        </xdr:cNvGrpSpPr>
      </xdr:nvGrpSpPr>
      <xdr:grpSpPr bwMode="auto">
        <a:xfrm>
          <a:off x="5629254" y="5095875"/>
          <a:ext cx="219073" cy="590550"/>
          <a:chOff x="4409052" y="3273480"/>
          <a:chExt cx="220319" cy="676709"/>
        </a:xfrm>
      </xdr:grpSpPr>
      <xdr:grpSp>
        <xdr:nvGrpSpPr>
          <xdr:cNvPr id="95447" name="441 Grupo"/>
          <xdr:cNvGrpSpPr>
            <a:grpSpLocks/>
          </xdr:cNvGrpSpPr>
        </xdr:nvGrpSpPr>
        <xdr:grpSpPr bwMode="auto">
          <a:xfrm>
            <a:off x="4409052" y="3273480"/>
            <a:ext cx="220319" cy="628391"/>
            <a:chOff x="4409052" y="3273480"/>
            <a:chExt cx="220319" cy="628391"/>
          </a:xfrm>
        </xdr:grpSpPr>
        <xdr:grpSp>
          <xdr:nvGrpSpPr>
            <xdr:cNvPr id="95451" name="346 Grupo"/>
            <xdr:cNvGrpSpPr>
              <a:grpSpLocks/>
            </xdr:cNvGrpSpPr>
          </xdr:nvGrpSpPr>
          <xdr:grpSpPr bwMode="auto">
            <a:xfrm>
              <a:off x="4409052" y="3273480"/>
              <a:ext cx="220319" cy="309354"/>
              <a:chOff x="5243505" y="2315308"/>
              <a:chExt cx="232753" cy="304495"/>
            </a:xfrm>
          </xdr:grpSpPr>
          <xdr:sp macro="" textlink="">
            <xdr:nvSpPr>
              <xdr:cNvPr id="99" name="98 Arco"/>
              <xdr:cNvSpPr/>
            </xdr:nvSpPr>
            <xdr:spPr>
              <a:xfrm rot="10800000">
                <a:off x="5243524" y="2379767"/>
                <a:ext cx="101198" cy="64459"/>
              </a:xfrm>
              <a:prstGeom prst="arc">
                <a:avLst>
                  <a:gd name="adj1" fmla="val 15881930"/>
                  <a:gd name="adj2" fmla="val 5345074"/>
                </a:avLst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rtlCol="0" anchor="ctr"/>
              <a:lstStyle/>
              <a:p>
                <a:endParaRPr lang="en-US"/>
              </a:p>
            </xdr:txBody>
          </xdr:sp>
          <xdr:sp macro="" textlink="">
            <xdr:nvSpPr>
              <xdr:cNvPr id="100" name="99 Arco"/>
              <xdr:cNvSpPr/>
            </xdr:nvSpPr>
            <xdr:spPr>
              <a:xfrm rot="10800000">
                <a:off x="5243524" y="2444227"/>
                <a:ext cx="101198" cy="53716"/>
              </a:xfrm>
              <a:prstGeom prst="arc">
                <a:avLst>
                  <a:gd name="adj1" fmla="val 15881930"/>
                  <a:gd name="adj2" fmla="val 5345074"/>
                </a:avLst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rtlCol="0" anchor="ctr"/>
              <a:lstStyle/>
              <a:p>
                <a:endParaRPr lang="en-US"/>
              </a:p>
            </xdr:txBody>
          </xdr:sp>
          <xdr:sp macro="" textlink="">
            <xdr:nvSpPr>
              <xdr:cNvPr id="101" name="100 Arco"/>
              <xdr:cNvSpPr/>
            </xdr:nvSpPr>
            <xdr:spPr>
              <a:xfrm rot="10800000">
                <a:off x="5253644" y="2497943"/>
                <a:ext cx="91078" cy="225608"/>
              </a:xfrm>
              <a:prstGeom prst="arc">
                <a:avLst>
                  <a:gd name="adj1" fmla="val 15881930"/>
                  <a:gd name="adj2" fmla="val 5345074"/>
                </a:avLst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rtlCol="0" anchor="ctr"/>
              <a:lstStyle/>
              <a:p>
                <a:endParaRPr lang="en-US"/>
              </a:p>
            </xdr:txBody>
          </xdr:sp>
          <xdr:cxnSp macro="">
            <xdr:nvCxnSpPr>
              <xdr:cNvPr id="102" name="101 Conector recto"/>
              <xdr:cNvCxnSpPr/>
            </xdr:nvCxnSpPr>
            <xdr:spPr>
              <a:xfrm rot="5400000">
                <a:off x="5257145" y="2342167"/>
                <a:ext cx="53716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3" name="102 Conector recto"/>
              <xdr:cNvCxnSpPr/>
            </xdr:nvCxnSpPr>
            <xdr:spPr>
              <a:xfrm rot="5400000">
                <a:off x="5282445" y="2734605"/>
                <a:ext cx="53716" cy="1012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4" name="103 Conector recto"/>
              <xdr:cNvCxnSpPr/>
            </xdr:nvCxnSpPr>
            <xdr:spPr>
              <a:xfrm flipV="1">
                <a:off x="5284003" y="2315308"/>
                <a:ext cx="141677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5" name="104 Conector recto"/>
              <xdr:cNvCxnSpPr/>
            </xdr:nvCxnSpPr>
            <xdr:spPr>
              <a:xfrm>
                <a:off x="5375081" y="2476456"/>
                <a:ext cx="101198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" name="105 Conector recto"/>
              <xdr:cNvCxnSpPr/>
            </xdr:nvCxnSpPr>
            <xdr:spPr>
              <a:xfrm>
                <a:off x="5375081" y="2497943"/>
                <a:ext cx="101198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7" name="106 Conector recto"/>
              <xdr:cNvCxnSpPr/>
            </xdr:nvCxnSpPr>
            <xdr:spPr>
              <a:xfrm rot="5400000" flipH="1" flipV="1">
                <a:off x="5291390" y="2632234"/>
                <a:ext cx="268581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8" name="107 Conector recto"/>
              <xdr:cNvCxnSpPr/>
            </xdr:nvCxnSpPr>
            <xdr:spPr>
              <a:xfrm>
                <a:off x="5304243" y="2777266"/>
                <a:ext cx="121437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9" name="108 Conector recto"/>
              <xdr:cNvCxnSpPr/>
            </xdr:nvCxnSpPr>
            <xdr:spPr>
              <a:xfrm rot="5400000" flipH="1" flipV="1">
                <a:off x="5350478" y="2401254"/>
                <a:ext cx="150405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95452" name="514 Grupo"/>
            <xdr:cNvGrpSpPr>
              <a:grpSpLocks/>
            </xdr:cNvGrpSpPr>
          </xdr:nvGrpSpPr>
          <xdr:grpSpPr bwMode="auto">
            <a:xfrm>
              <a:off x="4466547" y="3602184"/>
              <a:ext cx="95792" cy="299687"/>
              <a:chOff x="3800937" y="3607601"/>
              <a:chExt cx="97438" cy="300569"/>
            </a:xfrm>
          </xdr:grpSpPr>
          <xdr:sp macro="" textlink="">
            <xdr:nvSpPr>
              <xdr:cNvPr id="97" name="96 Arco"/>
              <xdr:cNvSpPr/>
            </xdr:nvSpPr>
            <xdr:spPr>
              <a:xfrm>
                <a:off x="3800935" y="3606333"/>
                <a:ext cx="87694" cy="153255"/>
              </a:xfrm>
              <a:prstGeom prst="arc">
                <a:avLst>
                  <a:gd name="adj1" fmla="val 14129525"/>
                  <a:gd name="adj2" fmla="val 7675013"/>
                </a:avLst>
              </a:prstGeom>
              <a:ln w="9525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rtlCol="0" anchor="ctr"/>
              <a:lstStyle/>
              <a:p>
                <a:endParaRPr lang="en-US"/>
              </a:p>
            </xdr:txBody>
          </xdr:sp>
          <xdr:sp macro="" textlink="">
            <xdr:nvSpPr>
              <xdr:cNvPr id="98" name="97 Arco"/>
              <xdr:cNvSpPr/>
            </xdr:nvSpPr>
            <xdr:spPr>
              <a:xfrm rot="10800000">
                <a:off x="3810679" y="3748641"/>
                <a:ext cx="87694" cy="164202"/>
              </a:xfrm>
              <a:prstGeom prst="arc">
                <a:avLst>
                  <a:gd name="adj1" fmla="val 14129525"/>
                  <a:gd name="adj2" fmla="val 7675013"/>
                </a:avLst>
              </a:prstGeom>
              <a:ln w="9525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rtlCol="0" anchor="ctr"/>
              <a:lstStyle/>
              <a:p>
                <a:endParaRPr lang="en-US"/>
              </a:p>
            </xdr:txBody>
          </xdr:sp>
        </xdr:grpSp>
      </xdr:grpSp>
      <xdr:cxnSp macro="">
        <xdr:nvCxnSpPr>
          <xdr:cNvPr id="92" name="91 Conector recto"/>
          <xdr:cNvCxnSpPr/>
        </xdr:nvCxnSpPr>
        <xdr:spPr>
          <a:xfrm rot="5400000">
            <a:off x="4502191" y="3928360"/>
            <a:ext cx="43659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92 Conector recto"/>
          <xdr:cNvCxnSpPr/>
        </xdr:nvCxnSpPr>
        <xdr:spPr>
          <a:xfrm rot="5400000">
            <a:off x="4496733" y="3606378"/>
            <a:ext cx="54573" cy="0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85725</xdr:colOff>
      <xdr:row>10</xdr:row>
      <xdr:rowOff>38101</xdr:rowOff>
    </xdr:from>
    <xdr:to>
      <xdr:col>26</xdr:col>
      <xdr:colOff>695325</xdr:colOff>
      <xdr:row>21</xdr:row>
      <xdr:rowOff>142875</xdr:rowOff>
    </xdr:to>
    <xdr:sp macro="" textlink="">
      <xdr:nvSpPr>
        <xdr:cNvPr id="112" name="111 CuadroTexto"/>
        <xdr:cNvSpPr txBox="1"/>
      </xdr:nvSpPr>
      <xdr:spPr>
        <a:xfrm>
          <a:off x="8124825" y="1819276"/>
          <a:ext cx="3590925" cy="184784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Nota: Esta hoja de cálculo se ha llenado con datos de un ejemplo, los cuales deben ser reemplazados en cada sistema y equipo en estudio, con la información correspondiente. En la hoja de cálculo se han marcado con color AMARILLO los campos que deben ser reemplazados o ingresados, y con color VERDE los que realizarán los cálculos en forma automática y por lo tanto, no deben ser alterados. Se sugiere guardar el archivo con el nombre del sistema de bombeo correspondiente antes de empezar a llenar la hoja de cálculo.</a:t>
          </a:r>
          <a:endParaRPr lang="es-MX" sz="1100"/>
        </a:p>
      </xdr:txBody>
    </xdr:sp>
    <xdr:clientData/>
  </xdr:twoCellAnchor>
  <xdr:twoCellAnchor>
    <xdr:from>
      <xdr:col>21</xdr:col>
      <xdr:colOff>190500</xdr:colOff>
      <xdr:row>180</xdr:row>
      <xdr:rowOff>19050</xdr:rowOff>
    </xdr:from>
    <xdr:to>
      <xdr:col>25</xdr:col>
      <xdr:colOff>190500</xdr:colOff>
      <xdr:row>186</xdr:row>
      <xdr:rowOff>85725</xdr:rowOff>
    </xdr:to>
    <xdr:pic>
      <xdr:nvPicPr>
        <xdr:cNvPr id="95446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91525" y="27717750"/>
          <a:ext cx="19431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ng.%20Angel\Escritorio\ENERGY%20AUDIT%20FOR%20BLUE%20HILLS%20PUMPING%20SYST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ng.%20Angel\Escritorio\ENERGY%20AUDIT%20FOR%20ARAWAK%20CAY%20PUMPING%20SYSTE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ELD FORMAT P#2"/>
      <sheetName val="ANALYSIS #2"/>
      <sheetName val="FIELD FORMAT P#3"/>
      <sheetName val="ANALYSIS #3"/>
    </sheetNames>
    <sheetDataSet>
      <sheetData sheetId="0"/>
      <sheetData sheetId="1"/>
      <sheetData sheetId="2"/>
      <sheetData sheetId="3">
        <row r="127">
          <cell r="B127" t="str">
            <v>Electrical Loses</v>
          </cell>
        </row>
        <row r="128">
          <cell r="B128" t="str">
            <v>Motor Losses</v>
          </cell>
        </row>
        <row r="129">
          <cell r="B129" t="str">
            <v>Pump Losses</v>
          </cell>
        </row>
        <row r="130">
          <cell r="B130" t="str">
            <v>Suction pipe losses</v>
          </cell>
        </row>
        <row r="131">
          <cell r="B131" t="str">
            <v xml:space="preserve">Network head losses </v>
          </cell>
        </row>
        <row r="132">
          <cell r="B132" t="str">
            <v>Leakages Losses</v>
          </cell>
        </row>
        <row r="133">
          <cell r="B133" t="str">
            <v>Useful Work</v>
          </cell>
        </row>
        <row r="134">
          <cell r="B134" t="str">
            <v>Savings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ELD FORMAT"/>
      <sheetName val="ANALYSI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6:AC308"/>
  <sheetViews>
    <sheetView showGridLines="0" tabSelected="1" zoomScaleNormal="100" workbookViewId="0">
      <selection activeCell="W26" sqref="W26"/>
    </sheetView>
  </sheetViews>
  <sheetFormatPr defaultColWidth="11.42578125" defaultRowHeight="12.75"/>
  <cols>
    <col min="1" max="1" width="1" customWidth="1"/>
    <col min="2" max="2" width="4.85546875" customWidth="1"/>
    <col min="3" max="3" width="8.140625" customWidth="1"/>
    <col min="4" max="4" width="8.28515625" customWidth="1"/>
    <col min="5" max="5" width="10.42578125" customWidth="1"/>
    <col min="6" max="6" width="8" customWidth="1"/>
    <col min="7" max="7" width="7.7109375" customWidth="1"/>
    <col min="8" max="8" width="6.140625" customWidth="1"/>
    <col min="9" max="10" width="5.7109375" customWidth="1"/>
    <col min="11" max="11" width="4.42578125" customWidth="1"/>
    <col min="12" max="12" width="7.140625" customWidth="1"/>
    <col min="13" max="13" width="6.28515625" customWidth="1"/>
    <col min="14" max="14" width="3.42578125" customWidth="1"/>
    <col min="15" max="15" width="2.7109375" customWidth="1"/>
    <col min="16" max="16" width="3.5703125" customWidth="1"/>
    <col min="17" max="17" width="6.85546875" customWidth="1"/>
    <col min="18" max="18" width="6.28515625" customWidth="1"/>
    <col min="19" max="19" width="8.85546875" customWidth="1"/>
    <col min="20" max="20" width="6.42578125" customWidth="1"/>
    <col min="21" max="21" width="1" customWidth="1"/>
    <col min="22" max="22" width="3.28515625" bestFit="1" customWidth="1"/>
    <col min="23" max="23" width="6.5703125" bestFit="1" customWidth="1"/>
    <col min="24" max="24" width="12.28515625" bestFit="1" customWidth="1"/>
    <col min="25" max="25" width="7" bestFit="1" customWidth="1"/>
    <col min="26" max="26" width="15.5703125" customWidth="1"/>
    <col min="27" max="27" width="13.28515625" customWidth="1"/>
    <col min="28" max="28" width="14.5703125" customWidth="1"/>
  </cols>
  <sheetData>
    <row r="6" spans="1:21">
      <c r="A6" s="551" t="s">
        <v>350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</row>
    <row r="7" spans="1:21">
      <c r="A7" s="55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</row>
    <row r="8" spans="1:21" ht="25.5" customHeight="1">
      <c r="A8" s="550" t="s">
        <v>352</v>
      </c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</row>
    <row r="9" spans="1:21" ht="12.75" customHeight="1">
      <c r="A9" s="295"/>
      <c r="B9" s="295"/>
      <c r="C9" s="295"/>
      <c r="D9" s="295"/>
      <c r="E9" s="295"/>
      <c r="F9" s="295"/>
      <c r="G9" s="296"/>
      <c r="H9" s="296"/>
      <c r="I9" s="296"/>
      <c r="J9" s="296"/>
      <c r="K9" s="296"/>
      <c r="L9" s="296"/>
      <c r="M9" s="295"/>
      <c r="N9" s="295"/>
      <c r="O9" s="295"/>
      <c r="P9" s="295"/>
      <c r="Q9" s="295"/>
      <c r="R9" s="295"/>
      <c r="S9" s="295"/>
      <c r="T9" s="295"/>
    </row>
    <row r="10" spans="1:21">
      <c r="A10" s="552" t="s">
        <v>249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</row>
    <row r="11" spans="1:21" ht="6.75" customHeight="1"/>
    <row r="12" spans="1:21">
      <c r="A12" s="543" t="s">
        <v>250</v>
      </c>
      <c r="B12" s="544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</row>
    <row r="13" spans="1:21" ht="12.75" customHeight="1">
      <c r="A13" s="186"/>
      <c r="B13" s="334" t="s">
        <v>74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5"/>
    </row>
    <row r="14" spans="1:21" ht="12.75" customHeight="1">
      <c r="A14" s="34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7"/>
    </row>
    <row r="15" spans="1:21">
      <c r="A15" s="34"/>
      <c r="B15" s="1"/>
      <c r="C15" s="36" t="s">
        <v>298</v>
      </c>
      <c r="D15" s="326"/>
      <c r="E15" s="326"/>
      <c r="F15" s="326"/>
      <c r="G15" s="326"/>
      <c r="H15" s="1"/>
      <c r="I15" s="1"/>
      <c r="J15" s="1"/>
      <c r="K15" s="1"/>
      <c r="L15" s="1"/>
      <c r="M15" s="157" t="s">
        <v>299</v>
      </c>
      <c r="N15" s="1"/>
      <c r="O15" s="333" t="s">
        <v>75</v>
      </c>
      <c r="P15" s="333"/>
      <c r="Q15" s="333"/>
      <c r="R15" s="333"/>
      <c r="S15" s="333"/>
      <c r="T15" s="1"/>
      <c r="U15" s="53"/>
    </row>
    <row r="16" spans="1:21">
      <c r="A16" s="3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3"/>
      <c r="N16" s="23"/>
      <c r="O16" s="23"/>
      <c r="P16" s="5"/>
      <c r="Q16" s="5"/>
      <c r="R16" s="5"/>
      <c r="S16" s="5"/>
      <c r="T16" s="5"/>
      <c r="U16" s="53"/>
    </row>
    <row r="17" spans="1:21" ht="14.25">
      <c r="A17" s="34"/>
      <c r="B17" s="157" t="s">
        <v>252</v>
      </c>
      <c r="C17" s="5"/>
      <c r="D17" s="5"/>
      <c r="E17" s="5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6"/>
    </row>
    <row r="18" spans="1:21" ht="14.25">
      <c r="A18" s="34"/>
      <c r="C18" s="5"/>
      <c r="E18" s="157" t="s">
        <v>251</v>
      </c>
      <c r="F18" s="350"/>
      <c r="G18" s="350"/>
      <c r="H18" s="350"/>
      <c r="I18" s="350"/>
      <c r="J18" s="350"/>
      <c r="K18" s="350"/>
      <c r="M18" s="251" t="s">
        <v>361</v>
      </c>
      <c r="N18" s="71"/>
      <c r="O18" s="351"/>
      <c r="P18" s="351"/>
      <c r="Q18" s="351"/>
      <c r="R18" s="351"/>
      <c r="S18" s="351"/>
      <c r="T18" s="351"/>
      <c r="U18" s="6"/>
    </row>
    <row r="19" spans="1:2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</row>
    <row r="21" spans="1:21">
      <c r="A21" s="343" t="s">
        <v>105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9"/>
    </row>
    <row r="22" spans="1:21">
      <c r="A22" s="20"/>
      <c r="B22" s="25"/>
      <c r="C22" s="25"/>
      <c r="D22" s="25"/>
      <c r="E22" s="25"/>
      <c r="F22" s="25"/>
      <c r="G22" s="25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</row>
    <row r="23" spans="1:21">
      <c r="A23" s="7"/>
      <c r="B23" s="65" t="s">
        <v>76</v>
      </c>
      <c r="C23" s="18"/>
      <c r="D23" s="18"/>
      <c r="E23" s="18"/>
      <c r="F23" s="18"/>
      <c r="G23" s="69"/>
      <c r="H23" s="108"/>
      <c r="I23" s="108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7"/>
    </row>
    <row r="24" spans="1:21">
      <c r="A24" s="7"/>
      <c r="B24" s="19"/>
      <c r="C24" s="66" t="s">
        <v>77</v>
      </c>
      <c r="D24" s="108"/>
      <c r="E24" s="352" t="s">
        <v>78</v>
      </c>
      <c r="F24" s="352"/>
      <c r="G24" s="353"/>
      <c r="H24" s="17"/>
      <c r="I24" s="17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24"/>
    </row>
    <row r="25" spans="1:21">
      <c r="A25" s="7"/>
      <c r="B25" s="19"/>
      <c r="C25" s="66" t="s">
        <v>79</v>
      </c>
      <c r="D25" s="108"/>
      <c r="E25" s="354">
        <v>632001006521</v>
      </c>
      <c r="F25" s="354"/>
      <c r="G25" s="355"/>
      <c r="H25" s="26"/>
      <c r="I25" s="26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24"/>
    </row>
    <row r="26" spans="1:21">
      <c r="A26" s="7"/>
      <c r="B26" s="19"/>
      <c r="C26" s="184" t="s">
        <v>300</v>
      </c>
      <c r="D26" s="108"/>
      <c r="E26" s="356" t="s">
        <v>80</v>
      </c>
      <c r="F26" s="356"/>
      <c r="G26" s="357"/>
      <c r="H26" s="17"/>
      <c r="I26" s="17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24"/>
    </row>
    <row r="27" spans="1:21" ht="5.25" customHeight="1">
      <c r="A27" s="7"/>
      <c r="B27" s="83"/>
      <c r="C27" s="84"/>
      <c r="D27" s="123"/>
      <c r="E27" s="122"/>
      <c r="F27" s="122"/>
      <c r="G27" s="76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24"/>
    </row>
    <row r="28" spans="1:21">
      <c r="A28" s="34"/>
      <c r="B28" s="186" t="s">
        <v>81</v>
      </c>
      <c r="C28" s="10"/>
      <c r="D28" s="10"/>
      <c r="E28" s="10"/>
      <c r="F28" s="10"/>
      <c r="G28" s="18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3"/>
    </row>
    <row r="29" spans="1:21">
      <c r="A29" s="34"/>
      <c r="B29" s="34"/>
      <c r="C29" s="1" t="s">
        <v>82</v>
      </c>
      <c r="D29" s="1"/>
      <c r="E29" s="352" t="s">
        <v>83</v>
      </c>
      <c r="F29" s="352"/>
      <c r="G29" s="353"/>
      <c r="H29" s="17"/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3"/>
    </row>
    <row r="30" spans="1:21">
      <c r="A30" s="34"/>
      <c r="B30" s="34"/>
      <c r="C30" s="1" t="s">
        <v>84</v>
      </c>
      <c r="D30" s="1"/>
      <c r="E30" s="326" t="s">
        <v>301</v>
      </c>
      <c r="F30" s="352"/>
      <c r="G30" s="353" t="s">
        <v>6</v>
      </c>
      <c r="H30" s="10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3"/>
    </row>
    <row r="31" spans="1:21">
      <c r="A31" s="34"/>
      <c r="B31" s="34"/>
      <c r="C31" s="1" t="s">
        <v>85</v>
      </c>
      <c r="D31" s="1"/>
      <c r="E31" s="326" t="s">
        <v>302</v>
      </c>
      <c r="F31" s="352"/>
      <c r="G31" s="353" t="s">
        <v>86</v>
      </c>
      <c r="H31" s="10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3"/>
    </row>
    <row r="32" spans="1:21" ht="6.75" customHeight="1">
      <c r="A32" s="34"/>
      <c r="B32" s="88"/>
      <c r="C32" s="74"/>
      <c r="D32" s="74"/>
      <c r="E32" s="122"/>
      <c r="F32" s="122"/>
      <c r="G32" s="76"/>
      <c r="H32" s="108"/>
      <c r="I32" s="10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3"/>
    </row>
    <row r="33" spans="1:21">
      <c r="A33" s="34"/>
      <c r="B33" s="253" t="s">
        <v>305</v>
      </c>
      <c r="C33" s="10"/>
      <c r="D33" s="10"/>
      <c r="E33" s="18"/>
      <c r="F33" s="18"/>
      <c r="G33" s="69"/>
      <c r="H33" s="108"/>
      <c r="I33" s="10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3"/>
    </row>
    <row r="34" spans="1:21">
      <c r="A34" s="34"/>
      <c r="B34" s="34"/>
      <c r="C34" s="35" t="s">
        <v>108</v>
      </c>
      <c r="D34" s="1"/>
      <c r="E34" s="352" t="s">
        <v>87</v>
      </c>
      <c r="F34" s="352"/>
      <c r="G34" s="353"/>
      <c r="H34" s="108"/>
      <c r="I34" s="10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3"/>
    </row>
    <row r="35" spans="1:21">
      <c r="A35" s="34"/>
      <c r="B35" s="34"/>
      <c r="C35" s="8" t="s">
        <v>84</v>
      </c>
      <c r="D35" s="1"/>
      <c r="E35" s="326" t="s">
        <v>303</v>
      </c>
      <c r="F35" s="352"/>
      <c r="G35" s="353"/>
      <c r="H35" s="108"/>
      <c r="I35" s="10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3"/>
    </row>
    <row r="36" spans="1:21">
      <c r="A36" s="34"/>
      <c r="B36" s="34"/>
      <c r="C36" s="8" t="s">
        <v>88</v>
      </c>
      <c r="D36" s="1"/>
      <c r="E36" s="356" t="s">
        <v>89</v>
      </c>
      <c r="F36" s="356"/>
      <c r="G36" s="357"/>
      <c r="H36" s="108"/>
      <c r="I36" s="10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3"/>
    </row>
    <row r="37" spans="1:21" ht="4.5" customHeight="1">
      <c r="A37" s="34"/>
      <c r="B37" s="88"/>
      <c r="C37" s="74"/>
      <c r="D37" s="74"/>
      <c r="E37" s="123"/>
      <c r="F37" s="123"/>
      <c r="G37" s="91"/>
      <c r="H37" s="108"/>
      <c r="I37" s="108"/>
      <c r="J37" s="1"/>
      <c r="K37" s="1"/>
      <c r="L37" s="1"/>
      <c r="M37" s="1"/>
      <c r="N37" s="1"/>
      <c r="O37" s="1"/>
      <c r="P37" s="1"/>
      <c r="Q37" s="1"/>
      <c r="R37" s="1"/>
      <c r="S37" s="90"/>
      <c r="T37" s="1"/>
      <c r="U37" s="53"/>
    </row>
    <row r="38" spans="1:21" ht="4.5" customHeight="1">
      <c r="A38" s="34"/>
      <c r="B38" s="75"/>
      <c r="C38" s="73"/>
      <c r="D38" s="73"/>
      <c r="E38" s="81"/>
      <c r="F38" s="81"/>
      <c r="G38" s="89"/>
      <c r="H38" s="108"/>
      <c r="I38" s="108"/>
      <c r="J38" s="1"/>
      <c r="K38" s="1"/>
      <c r="L38" s="1"/>
      <c r="M38" s="1"/>
      <c r="N38" s="1"/>
      <c r="O38" s="1"/>
      <c r="P38" s="1"/>
      <c r="Q38" s="1"/>
      <c r="R38" s="1"/>
      <c r="S38" s="90"/>
      <c r="T38" s="1"/>
      <c r="U38" s="53"/>
    </row>
    <row r="39" spans="1:21">
      <c r="A39" s="34"/>
      <c r="B39" s="186" t="s">
        <v>90</v>
      </c>
      <c r="C39" s="10"/>
      <c r="D39" s="10"/>
      <c r="E39" s="10"/>
      <c r="F39" s="10"/>
      <c r="G39" s="18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3"/>
    </row>
    <row r="40" spans="1:21">
      <c r="A40" s="34"/>
      <c r="B40" s="34"/>
      <c r="C40" s="8" t="s">
        <v>82</v>
      </c>
      <c r="D40" s="1"/>
      <c r="E40" s="352" t="s">
        <v>91</v>
      </c>
      <c r="F40" s="352"/>
      <c r="G40" s="353"/>
      <c r="H40" s="17"/>
      <c r="I40" s="1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3"/>
    </row>
    <row r="41" spans="1:21">
      <c r="A41" s="34"/>
      <c r="B41" s="34"/>
      <c r="C41" s="8" t="s">
        <v>84</v>
      </c>
      <c r="D41" s="1"/>
      <c r="E41" s="326" t="s">
        <v>304</v>
      </c>
      <c r="F41" s="352"/>
      <c r="G41" s="353" t="s">
        <v>0</v>
      </c>
      <c r="H41" s="10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3"/>
    </row>
    <row r="42" spans="1:21" ht="5.25" customHeight="1">
      <c r="A42" s="34"/>
      <c r="B42" s="88"/>
      <c r="C42" s="74"/>
      <c r="D42" s="74"/>
      <c r="E42" s="122"/>
      <c r="F42" s="122"/>
      <c r="G42" s="76"/>
      <c r="H42" s="108"/>
      <c r="I42" s="10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3"/>
    </row>
    <row r="43" spans="1:21">
      <c r="A43" s="34"/>
      <c r="B43" s="254" t="s">
        <v>306</v>
      </c>
      <c r="C43" s="85"/>
      <c r="D43" s="85"/>
      <c r="E43" s="82"/>
      <c r="F43" s="82"/>
      <c r="G43" s="87"/>
      <c r="H43" s="108"/>
      <c r="I43" s="10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3"/>
    </row>
    <row r="44" spans="1:21">
      <c r="A44" s="34"/>
      <c r="B44" s="75"/>
      <c r="C44" s="231" t="s">
        <v>108</v>
      </c>
      <c r="D44" s="73"/>
      <c r="E44" s="352" t="s">
        <v>66</v>
      </c>
      <c r="F44" s="352"/>
      <c r="G44" s="353"/>
      <c r="H44" s="81"/>
      <c r="I44" s="81"/>
      <c r="J44" s="73"/>
      <c r="K44" s="73"/>
      <c r="L44" s="73"/>
      <c r="M44" s="73"/>
      <c r="N44" s="73"/>
      <c r="O44" s="73"/>
      <c r="P44" s="73"/>
      <c r="Q44" s="73"/>
      <c r="R44" s="73"/>
      <c r="S44" s="1"/>
      <c r="T44" s="1"/>
      <c r="U44" s="53"/>
    </row>
    <row r="45" spans="1:21">
      <c r="A45" s="34"/>
      <c r="B45" s="75"/>
      <c r="C45" s="231" t="s">
        <v>84</v>
      </c>
      <c r="D45" s="73"/>
      <c r="E45" s="326" t="s">
        <v>308</v>
      </c>
      <c r="F45" s="352"/>
      <c r="G45" s="353"/>
      <c r="H45" s="81"/>
      <c r="I45" s="255" t="s">
        <v>307</v>
      </c>
      <c r="J45" s="188"/>
      <c r="K45" s="188"/>
      <c r="L45" s="188"/>
      <c r="M45" s="187"/>
      <c r="N45" s="73"/>
      <c r="O45" s="73"/>
      <c r="P45" s="73"/>
      <c r="Q45" s="73"/>
      <c r="R45" s="73"/>
      <c r="S45" s="72"/>
      <c r="T45" s="72"/>
      <c r="U45" s="53"/>
    </row>
    <row r="46" spans="1:21">
      <c r="A46" s="34"/>
      <c r="B46" s="75"/>
      <c r="C46" s="231" t="s">
        <v>88</v>
      </c>
      <c r="D46" s="73"/>
      <c r="E46" s="352" t="s">
        <v>69</v>
      </c>
      <c r="F46" s="352"/>
      <c r="G46" s="353"/>
      <c r="H46" s="81"/>
      <c r="I46" s="19"/>
      <c r="J46" s="1"/>
      <c r="K46" s="106" t="s">
        <v>84</v>
      </c>
      <c r="L46" s="199">
        <v>40</v>
      </c>
      <c r="M46" s="256" t="s">
        <v>7</v>
      </c>
      <c r="N46" s="73"/>
      <c r="O46" s="3"/>
      <c r="P46" s="3"/>
      <c r="Q46" s="3"/>
      <c r="R46" s="3"/>
      <c r="S46" s="183"/>
      <c r="T46" s="27"/>
      <c r="U46" s="53"/>
    </row>
    <row r="47" spans="1:21" ht="6" customHeight="1">
      <c r="A47" s="34"/>
      <c r="B47" s="88"/>
      <c r="C47" s="74"/>
      <c r="D47" s="74"/>
      <c r="E47" s="123"/>
      <c r="F47" s="123"/>
      <c r="G47" s="91"/>
      <c r="H47" s="81"/>
      <c r="I47" s="189"/>
      <c r="J47" s="3"/>
      <c r="K47" s="3"/>
      <c r="L47" s="3"/>
      <c r="M47" s="4"/>
      <c r="N47" s="73"/>
      <c r="O47" s="339" t="s">
        <v>309</v>
      </c>
      <c r="P47" s="340"/>
      <c r="Q47" s="340"/>
      <c r="R47" s="340"/>
      <c r="S47" s="10"/>
      <c r="T47" s="187"/>
      <c r="U47" s="53"/>
    </row>
    <row r="48" spans="1:21">
      <c r="A48" s="34"/>
      <c r="B48" s="74"/>
      <c r="C48" s="74"/>
      <c r="D48" s="74"/>
      <c r="E48" s="123"/>
      <c r="F48" s="123"/>
      <c r="G48" s="123"/>
      <c r="H48" s="123"/>
      <c r="I48" s="123"/>
      <c r="J48" s="74"/>
      <c r="K48" s="74"/>
      <c r="L48" s="74"/>
      <c r="M48" s="86"/>
      <c r="N48" s="92"/>
      <c r="O48" s="341"/>
      <c r="P48" s="342"/>
      <c r="Q48" s="342"/>
      <c r="R48" s="342"/>
      <c r="S48" s="108"/>
      <c r="T48" s="124"/>
      <c r="U48" s="53"/>
    </row>
    <row r="49" spans="1:21">
      <c r="A49" s="34"/>
      <c r="B49" s="34" t="s">
        <v>99</v>
      </c>
      <c r="C49" s="8"/>
      <c r="D49" s="1"/>
      <c r="E49" s="108"/>
      <c r="F49" s="108"/>
      <c r="G49" s="108"/>
      <c r="H49" s="108"/>
      <c r="I49" s="183"/>
      <c r="J49" s="1"/>
      <c r="K49" s="1"/>
      <c r="L49" s="1"/>
      <c r="M49" s="53"/>
      <c r="N49" s="73"/>
      <c r="O49" s="34"/>
      <c r="P49" s="1" t="s">
        <v>92</v>
      </c>
      <c r="Q49" s="108"/>
      <c r="R49" s="108"/>
      <c r="S49" s="108"/>
      <c r="T49" s="124"/>
      <c r="U49" s="53"/>
    </row>
    <row r="50" spans="1:21">
      <c r="A50" s="34"/>
      <c r="B50" s="34"/>
      <c r="C50" s="8" t="s">
        <v>260</v>
      </c>
      <c r="D50" s="1"/>
      <c r="E50" s="1"/>
      <c r="F50" s="1"/>
      <c r="G50" s="1"/>
      <c r="H50" s="1"/>
      <c r="I50" s="202" t="s">
        <v>100</v>
      </c>
      <c r="J50" s="203" t="s">
        <v>5</v>
      </c>
      <c r="K50" s="1"/>
      <c r="L50" s="1"/>
      <c r="M50" s="191"/>
      <c r="N50" s="73"/>
      <c r="O50" s="190"/>
      <c r="P50" s="1"/>
      <c r="Q50" s="8" t="s">
        <v>93</v>
      </c>
      <c r="R50" s="108"/>
      <c r="S50" s="200" t="s">
        <v>94</v>
      </c>
      <c r="T50" s="124"/>
      <c r="U50" s="53"/>
    </row>
    <row r="51" spans="1:21">
      <c r="A51" s="34"/>
      <c r="B51" s="34"/>
      <c r="C51" s="1" t="s">
        <v>261</v>
      </c>
      <c r="D51" s="1"/>
      <c r="E51" s="1"/>
      <c r="F51" s="1"/>
      <c r="G51" s="1"/>
      <c r="H51" s="1"/>
      <c r="I51" s="203" t="s">
        <v>101</v>
      </c>
      <c r="J51" s="202" t="s">
        <v>102</v>
      </c>
      <c r="K51" s="1"/>
      <c r="L51" s="1"/>
      <c r="M51" s="191"/>
      <c r="N51" s="73"/>
      <c r="O51" s="190"/>
      <c r="P51" s="1"/>
      <c r="Q51" s="8" t="s">
        <v>95</v>
      </c>
      <c r="R51" s="108"/>
      <c r="S51" s="210">
        <v>18</v>
      </c>
      <c r="T51" s="259" t="s">
        <v>11</v>
      </c>
      <c r="U51" s="53"/>
    </row>
    <row r="52" spans="1:21">
      <c r="A52" s="34"/>
      <c r="B52" s="34"/>
      <c r="C52" s="1" t="s">
        <v>262</v>
      </c>
      <c r="D52" s="1"/>
      <c r="E52" s="1"/>
      <c r="F52" s="1"/>
      <c r="G52" s="1"/>
      <c r="H52" s="1"/>
      <c r="I52" s="202" t="s">
        <v>100</v>
      </c>
      <c r="J52" s="203" t="s">
        <v>5</v>
      </c>
      <c r="K52" s="348" t="s">
        <v>93</v>
      </c>
      <c r="L52" s="349"/>
      <c r="M52" s="204">
        <v>8</v>
      </c>
      <c r="N52" s="73"/>
      <c r="O52" s="190"/>
      <c r="P52" s="1"/>
      <c r="Q52" s="1" t="s">
        <v>96</v>
      </c>
      <c r="R52" s="1"/>
      <c r="S52" s="201" t="s">
        <v>97</v>
      </c>
      <c r="T52" s="258"/>
      <c r="U52" s="53"/>
    </row>
    <row r="53" spans="1:21">
      <c r="A53" s="34"/>
      <c r="B53" s="34"/>
      <c r="C53" s="1" t="s">
        <v>263</v>
      </c>
      <c r="D53" s="1"/>
      <c r="E53" s="1"/>
      <c r="F53" s="1"/>
      <c r="G53" s="1"/>
      <c r="H53" s="1"/>
      <c r="I53" s="203" t="s">
        <v>101</v>
      </c>
      <c r="J53" s="202" t="s">
        <v>102</v>
      </c>
      <c r="K53" s="348" t="s">
        <v>93</v>
      </c>
      <c r="L53" s="349"/>
      <c r="M53" s="205">
        <v>8</v>
      </c>
      <c r="N53" s="73"/>
      <c r="O53" s="34"/>
      <c r="Q53" s="5"/>
      <c r="R53" s="5"/>
      <c r="S53" s="108"/>
      <c r="T53" s="124"/>
      <c r="U53" s="53"/>
    </row>
    <row r="54" spans="1:21">
      <c r="A54" s="34"/>
      <c r="B54" s="34"/>
      <c r="C54" s="1" t="s">
        <v>264</v>
      </c>
      <c r="D54" s="1"/>
      <c r="E54" s="1"/>
      <c r="F54" s="1"/>
      <c r="G54" s="1"/>
      <c r="H54" s="1"/>
      <c r="I54" s="203" t="s">
        <v>101</v>
      </c>
      <c r="J54" s="202" t="s">
        <v>102</v>
      </c>
      <c r="K54" s="348" t="s">
        <v>93</v>
      </c>
      <c r="L54" s="349"/>
      <c r="M54" s="205" t="s">
        <v>103</v>
      </c>
      <c r="N54" s="73"/>
      <c r="O54" s="34"/>
      <c r="P54" s="5" t="s">
        <v>98</v>
      </c>
      <c r="R54" s="17"/>
      <c r="T54" s="257"/>
      <c r="U54" s="53"/>
    </row>
    <row r="55" spans="1:21">
      <c r="A55" s="34"/>
      <c r="B55" s="2"/>
      <c r="C55" s="3"/>
      <c r="D55" s="3"/>
      <c r="E55" s="3"/>
      <c r="F55" s="3"/>
      <c r="G55" s="3"/>
      <c r="H55" s="3"/>
      <c r="I55" s="111"/>
      <c r="J55" s="111"/>
      <c r="K55" s="3"/>
      <c r="L55" s="78"/>
      <c r="M55" s="4"/>
      <c r="N55" s="73"/>
      <c r="O55" s="34"/>
      <c r="P55" s="1"/>
      <c r="Q55" s="17" t="s">
        <v>93</v>
      </c>
      <c r="R55" s="17"/>
      <c r="S55" s="221" t="s">
        <v>310</v>
      </c>
      <c r="T55" s="256"/>
      <c r="U55" s="53"/>
    </row>
    <row r="56" spans="1:21">
      <c r="A56" s="34"/>
      <c r="B56" s="1" t="s">
        <v>104</v>
      </c>
      <c r="C56" s="8"/>
      <c r="D56" s="1"/>
      <c r="E56" s="366" t="s">
        <v>353</v>
      </c>
      <c r="F56" s="306"/>
      <c r="G56" s="306"/>
      <c r="H56" s="306"/>
      <c r="I56" s="306"/>
      <c r="J56" s="306"/>
      <c r="K56" s="306"/>
      <c r="L56" s="306"/>
      <c r="M56" s="306"/>
      <c r="N56" s="1"/>
      <c r="O56" s="34"/>
      <c r="P56" s="1"/>
      <c r="Q56" s="8" t="s">
        <v>95</v>
      </c>
      <c r="R56" s="108"/>
      <c r="S56" s="210">
        <v>152.5</v>
      </c>
      <c r="T56" s="259" t="s">
        <v>11</v>
      </c>
      <c r="U56" s="53"/>
    </row>
    <row r="57" spans="1:21">
      <c r="A57" s="34"/>
      <c r="B57" s="352" t="s">
        <v>354</v>
      </c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1"/>
      <c r="O57" s="34"/>
      <c r="P57" s="1"/>
      <c r="Q57" s="8" t="s">
        <v>96</v>
      </c>
      <c r="R57" s="1"/>
      <c r="S57" s="252" t="s">
        <v>97</v>
      </c>
      <c r="T57" s="259"/>
      <c r="U57" s="53"/>
    </row>
    <row r="58" spans="1:21">
      <c r="A58" s="3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3"/>
      <c r="Q58" s="3"/>
      <c r="R58" s="3"/>
      <c r="S58" s="3"/>
      <c r="T58" s="4"/>
      <c r="U58" s="53"/>
    </row>
    <row r="59" spans="1:21" ht="9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343" t="s">
        <v>106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5"/>
    </row>
    <row r="61" spans="1:21">
      <c r="A61" s="186"/>
      <c r="B61" s="1" t="s">
        <v>107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87"/>
    </row>
    <row r="62" spans="1:21">
      <c r="A62" s="34"/>
      <c r="B62" s="1"/>
      <c r="C62" s="1" t="s">
        <v>108</v>
      </c>
      <c r="E62" s="365" t="s">
        <v>109</v>
      </c>
      <c r="F62" s="365"/>
      <c r="G62" s="17"/>
      <c r="H62" s="108"/>
      <c r="I62" s="8"/>
      <c r="J62" s="8" t="s">
        <v>110</v>
      </c>
      <c r="K62" s="8"/>
      <c r="L62" s="365">
        <v>440</v>
      </c>
      <c r="M62" s="365"/>
      <c r="N62" s="66" t="s">
        <v>1</v>
      </c>
      <c r="O62" s="110"/>
      <c r="P62" s="8"/>
      <c r="Q62" s="8" t="s">
        <v>82</v>
      </c>
      <c r="R62" s="352" t="s">
        <v>111</v>
      </c>
      <c r="S62" s="352"/>
      <c r="T62" s="352"/>
      <c r="U62" s="53"/>
    </row>
    <row r="63" spans="1:21">
      <c r="A63" s="34"/>
      <c r="B63" s="1"/>
      <c r="C63" s="1" t="s">
        <v>84</v>
      </c>
      <c r="D63" s="8"/>
      <c r="E63" s="325">
        <v>40</v>
      </c>
      <c r="F63" s="325"/>
      <c r="G63" s="125" t="s">
        <v>0</v>
      </c>
      <c r="H63" s="108"/>
      <c r="I63" s="8"/>
      <c r="J63" s="8" t="s">
        <v>112</v>
      </c>
      <c r="K63" s="8"/>
      <c r="L63" s="375">
        <v>52.97077126806289</v>
      </c>
      <c r="M63" s="325"/>
      <c r="N63" s="193" t="s">
        <v>8</v>
      </c>
      <c r="O63" s="110"/>
      <c r="P63" s="8"/>
      <c r="Q63" s="8" t="s">
        <v>9</v>
      </c>
      <c r="R63" s="352"/>
      <c r="S63" s="352" t="s">
        <v>103</v>
      </c>
      <c r="T63" s="352"/>
      <c r="U63" s="53"/>
    </row>
    <row r="64" spans="1:21">
      <c r="A64" s="34"/>
      <c r="B64" s="1"/>
      <c r="C64" s="1" t="s">
        <v>113</v>
      </c>
      <c r="D64" s="8"/>
      <c r="E64" s="325">
        <v>3600</v>
      </c>
      <c r="F64" s="325"/>
      <c r="G64" s="193" t="s">
        <v>3</v>
      </c>
      <c r="H64" s="108"/>
      <c r="I64" s="8"/>
      <c r="J64" s="8" t="s">
        <v>114</v>
      </c>
      <c r="K64" s="8"/>
      <c r="L64" s="207"/>
      <c r="M64" s="208">
        <v>0.84</v>
      </c>
      <c r="N64" s="194"/>
      <c r="O64" s="194"/>
      <c r="P64" s="8"/>
      <c r="Q64" s="35" t="s">
        <v>115</v>
      </c>
      <c r="R64" s="352">
        <v>1.1499999999999999</v>
      </c>
      <c r="S64" s="352"/>
      <c r="T64" s="352"/>
      <c r="U64" s="53"/>
    </row>
    <row r="65" spans="1:29">
      <c r="A65" s="34"/>
      <c r="B65" s="1" t="s">
        <v>116</v>
      </c>
      <c r="C65" s="1"/>
      <c r="D65" s="8"/>
      <c r="E65" s="195"/>
      <c r="F65" s="195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53"/>
    </row>
    <row r="66" spans="1:29">
      <c r="A66" s="34"/>
      <c r="B66" s="1"/>
      <c r="C66" s="1" t="s">
        <v>117</v>
      </c>
      <c r="D66" s="8"/>
      <c r="E66" s="197">
        <v>0.5</v>
      </c>
      <c r="F66" s="125" t="s">
        <v>38</v>
      </c>
      <c r="G66" s="8"/>
      <c r="I66" s="8" t="s">
        <v>119</v>
      </c>
      <c r="J66" s="8"/>
      <c r="K66" s="8"/>
      <c r="L66" s="365">
        <v>0</v>
      </c>
      <c r="M66" s="365"/>
      <c r="N66" s="8"/>
      <c r="O66" s="321" t="s">
        <v>118</v>
      </c>
      <c r="P66" s="321"/>
      <c r="Q66" s="321"/>
      <c r="R66" s="197">
        <v>8736</v>
      </c>
      <c r="S66" s="294" t="s">
        <v>172</v>
      </c>
      <c r="T66" s="3"/>
      <c r="U66" s="53"/>
      <c r="AC66" s="8"/>
    </row>
    <row r="67" spans="1:29">
      <c r="A67" s="34"/>
      <c r="B67" s="1" t="s">
        <v>104</v>
      </c>
      <c r="C67" s="1"/>
      <c r="D67" s="1"/>
      <c r="E67" s="320" t="s">
        <v>311</v>
      </c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53"/>
    </row>
    <row r="68" spans="1:29" ht="11.25" customHeight="1">
      <c r="A68" s="2"/>
      <c r="B68" s="320" t="s">
        <v>312</v>
      </c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4"/>
    </row>
    <row r="69" spans="1:2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9">
      <c r="A70" s="360" t="s">
        <v>120</v>
      </c>
      <c r="B70" s="361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2"/>
    </row>
    <row r="71" spans="1:29">
      <c r="A71" s="34"/>
      <c r="B71" s="311" t="s">
        <v>313</v>
      </c>
      <c r="C71" s="311"/>
      <c r="D71" s="1"/>
      <c r="E71" s="1"/>
      <c r="F71" s="1"/>
      <c r="G71" s="1"/>
      <c r="H71" s="1"/>
      <c r="I71" s="1"/>
      <c r="J71" s="1"/>
      <c r="K71" s="311" t="s">
        <v>314</v>
      </c>
      <c r="L71" s="311"/>
      <c r="M71" s="1"/>
      <c r="N71" s="1"/>
      <c r="O71" s="1"/>
      <c r="P71" s="1"/>
      <c r="Q71" s="1"/>
      <c r="R71" s="1"/>
      <c r="S71" s="1"/>
      <c r="T71" s="1"/>
      <c r="U71" s="53"/>
    </row>
    <row r="72" spans="1:29">
      <c r="A72" s="34"/>
      <c r="B72" s="1"/>
      <c r="C72" s="1" t="s">
        <v>108</v>
      </c>
      <c r="D72" s="324" t="s">
        <v>121</v>
      </c>
      <c r="E72" s="324"/>
      <c r="F72" s="324"/>
      <c r="G72" s="324"/>
      <c r="H72" s="324"/>
      <c r="I72" s="324"/>
      <c r="J72" s="8"/>
      <c r="K72" s="8"/>
      <c r="L72" s="1"/>
      <c r="M72" s="8" t="s">
        <v>82</v>
      </c>
      <c r="N72" s="17"/>
      <c r="O72" s="322" t="s">
        <v>122</v>
      </c>
      <c r="P72" s="322"/>
      <c r="Q72" s="322"/>
      <c r="R72" s="322"/>
      <c r="S72" s="322"/>
      <c r="T72" s="322"/>
      <c r="U72" s="53"/>
    </row>
    <row r="73" spans="1:29">
      <c r="A73" s="34"/>
      <c r="B73" s="1"/>
      <c r="C73" s="1" t="s">
        <v>82</v>
      </c>
      <c r="D73" s="324" t="s">
        <v>111</v>
      </c>
      <c r="E73" s="324"/>
      <c r="F73" s="324"/>
      <c r="G73" s="324"/>
      <c r="H73" s="324"/>
      <c r="I73" s="324"/>
      <c r="J73" s="8"/>
      <c r="K73" s="8"/>
      <c r="L73" s="1"/>
      <c r="M73" s="66" t="s">
        <v>10</v>
      </c>
      <c r="N73" s="1"/>
      <c r="O73" s="323" t="s">
        <v>123</v>
      </c>
      <c r="P73" s="323"/>
      <c r="Q73" s="323"/>
      <c r="R73" s="323"/>
      <c r="S73" s="323"/>
      <c r="T73" s="323"/>
      <c r="U73" s="53"/>
    </row>
    <row r="74" spans="1:29">
      <c r="A74" s="34"/>
      <c r="B74" s="1"/>
      <c r="C74" s="1" t="s">
        <v>124</v>
      </c>
      <c r="D74" s="370">
        <v>0</v>
      </c>
      <c r="E74" s="370"/>
      <c r="F74" s="370"/>
      <c r="G74" s="370"/>
      <c r="H74" s="370"/>
      <c r="I74" s="370"/>
      <c r="J74" s="8"/>
      <c r="K74" s="8"/>
      <c r="L74" s="1"/>
      <c r="M74" s="35" t="s">
        <v>125</v>
      </c>
      <c r="N74" s="8"/>
      <c r="O74" s="325" t="s">
        <v>2</v>
      </c>
      <c r="P74" s="325"/>
      <c r="Q74" s="325"/>
      <c r="R74" s="325"/>
      <c r="S74" s="325"/>
      <c r="T74" s="66" t="s">
        <v>11</v>
      </c>
      <c r="U74" s="53"/>
    </row>
    <row r="75" spans="1:29">
      <c r="A75" s="34"/>
      <c r="B75" s="1"/>
      <c r="C75" s="1" t="s">
        <v>117</v>
      </c>
      <c r="D75" s="8"/>
      <c r="E75" s="302" t="s">
        <v>2</v>
      </c>
      <c r="F75" s="302"/>
      <c r="G75" s="302"/>
      <c r="H75" s="302"/>
      <c r="I75" s="302"/>
      <c r="J75" s="16" t="s">
        <v>38</v>
      </c>
      <c r="K75" s="8"/>
      <c r="L75" s="1"/>
      <c r="M75" s="8" t="s">
        <v>117</v>
      </c>
      <c r="N75" s="8"/>
      <c r="O75" s="198"/>
      <c r="P75" s="198"/>
      <c r="Q75" s="198"/>
      <c r="R75" s="198"/>
      <c r="S75" s="198"/>
      <c r="T75" s="193" t="s">
        <v>38</v>
      </c>
      <c r="U75" s="53"/>
    </row>
    <row r="76" spans="1:29" s="262" customFormat="1" ht="7.5" customHeight="1">
      <c r="A76" s="190"/>
      <c r="B76" s="8"/>
      <c r="C76" s="8"/>
      <c r="D76" s="8"/>
      <c r="E76" s="108"/>
      <c r="F76" s="108"/>
      <c r="G76" s="108"/>
      <c r="H76" s="108"/>
      <c r="I76" s="108"/>
      <c r="J76" s="8"/>
      <c r="K76" s="8"/>
      <c r="L76" s="8"/>
      <c r="M76" s="8"/>
      <c r="N76" s="8"/>
      <c r="O76" s="195"/>
      <c r="P76" s="195"/>
      <c r="Q76" s="195"/>
      <c r="R76" s="195"/>
      <c r="S76" s="247"/>
      <c r="T76" s="8"/>
      <c r="U76" s="191"/>
    </row>
    <row r="77" spans="1:29">
      <c r="A77" s="34"/>
      <c r="B77" s="1" t="s">
        <v>126</v>
      </c>
      <c r="C77" s="1"/>
      <c r="D77" s="8"/>
      <c r="E77" s="1"/>
      <c r="F77" s="8"/>
      <c r="G77" s="110" t="s">
        <v>125</v>
      </c>
      <c r="H77" s="373"/>
      <c r="I77" s="373"/>
      <c r="J77" s="332" t="s">
        <v>296</v>
      </c>
      <c r="K77" s="332"/>
      <c r="L77" s="1"/>
      <c r="M77" s="17" t="s">
        <v>95</v>
      </c>
      <c r="N77" s="108"/>
      <c r="O77" s="324"/>
      <c r="P77" s="324"/>
      <c r="Q77" s="324"/>
      <c r="R77" s="324"/>
      <c r="S77" s="324"/>
      <c r="T77" s="125" t="s">
        <v>11</v>
      </c>
      <c r="U77" s="53"/>
    </row>
    <row r="78" spans="1:29">
      <c r="A78" s="34"/>
      <c r="B78" s="1" t="s">
        <v>127</v>
      </c>
      <c r="C78" s="1"/>
      <c r="D78" s="8"/>
      <c r="E78" s="8"/>
      <c r="F78" s="8"/>
      <c r="G78" s="110" t="s">
        <v>128</v>
      </c>
      <c r="H78" s="325">
        <v>150.34</v>
      </c>
      <c r="I78" s="325"/>
      <c r="J78" s="332" t="s">
        <v>129</v>
      </c>
      <c r="K78" s="332"/>
      <c r="L78" s="1"/>
      <c r="M78" s="17" t="s">
        <v>130</v>
      </c>
      <c r="N78" s="1"/>
      <c r="O78" s="325">
        <v>10</v>
      </c>
      <c r="P78" s="325"/>
      <c r="Q78" s="325"/>
      <c r="R78" s="325"/>
      <c r="S78" s="325"/>
      <c r="T78" s="261" t="s">
        <v>297</v>
      </c>
      <c r="U78" s="53"/>
    </row>
    <row r="79" spans="1:29">
      <c r="A79" s="34"/>
      <c r="B79" s="1" t="s">
        <v>104</v>
      </c>
      <c r="C79" s="1"/>
      <c r="D79" s="1"/>
      <c r="E79" s="326" t="s">
        <v>315</v>
      </c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53"/>
    </row>
    <row r="80" spans="1:29" ht="6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82" t="s">
        <v>2</v>
      </c>
      <c r="T80" s="24"/>
      <c r="U80" s="4"/>
    </row>
    <row r="81" spans="1:21" ht="9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4"/>
      <c r="T81" s="24"/>
      <c r="U81" s="9"/>
    </row>
    <row r="82" spans="1:21">
      <c r="A82" s="343" t="s">
        <v>134</v>
      </c>
      <c r="B82" s="344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5"/>
    </row>
    <row r="83" spans="1:21" ht="14.25">
      <c r="A83" s="34"/>
      <c r="B83" s="36" t="s">
        <v>316</v>
      </c>
      <c r="C83" s="1"/>
      <c r="D83" s="324" t="s">
        <v>131</v>
      </c>
      <c r="E83" s="324"/>
      <c r="F83" s="324"/>
      <c r="G83" s="8"/>
      <c r="H83" s="8"/>
      <c r="I83" s="110" t="s">
        <v>12</v>
      </c>
      <c r="J83" s="374">
        <v>22</v>
      </c>
      <c r="K83" s="374"/>
      <c r="L83" s="263" t="s">
        <v>132</v>
      </c>
      <c r="M83" s="8"/>
      <c r="N83" s="8"/>
      <c r="O83" s="1"/>
      <c r="P83" s="17"/>
      <c r="Q83" s="1"/>
      <c r="R83" s="109" t="s">
        <v>265</v>
      </c>
      <c r="S83" s="250">
        <v>1000</v>
      </c>
      <c r="T83" s="77" t="s">
        <v>133</v>
      </c>
      <c r="U83" s="53"/>
    </row>
    <row r="84" spans="1:21">
      <c r="A84" s="34"/>
      <c r="B84" s="1" t="s">
        <v>104</v>
      </c>
      <c r="C84" s="1"/>
      <c r="D84" s="1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53"/>
    </row>
    <row r="85" spans="1:21" ht="5.2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4"/>
    </row>
    <row r="86" spans="1:21" ht="9" customHeight="1">
      <c r="S86" s="372"/>
      <c r="T86" s="372"/>
    </row>
    <row r="87" spans="1:21">
      <c r="A87" s="343" t="s">
        <v>135</v>
      </c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5"/>
    </row>
    <row r="88" spans="1:21">
      <c r="A88" s="186"/>
      <c r="B88" s="1" t="s">
        <v>136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87"/>
    </row>
    <row r="89" spans="1:21">
      <c r="A89" s="34"/>
      <c r="B89" s="1"/>
      <c r="C89" s="1" t="s">
        <v>137</v>
      </c>
      <c r="D89" s="1"/>
      <c r="E89" s="1"/>
      <c r="F89" s="1"/>
      <c r="G89" s="1"/>
      <c r="H89" s="260">
        <v>137</v>
      </c>
      <c r="I89" s="184" t="s">
        <v>11</v>
      </c>
      <c r="K89" s="8"/>
      <c r="L89" s="8"/>
      <c r="M89" s="8"/>
      <c r="N89" s="8"/>
      <c r="O89" s="8"/>
      <c r="P89" s="8"/>
      <c r="Q89" s="110" t="s">
        <v>138</v>
      </c>
      <c r="R89" s="211">
        <v>142.5</v>
      </c>
      <c r="S89" s="77" t="s">
        <v>11</v>
      </c>
      <c r="U89" s="53"/>
    </row>
    <row r="90" spans="1:21">
      <c r="A90" s="34"/>
      <c r="B90" s="1"/>
      <c r="C90" s="157" t="s">
        <v>139</v>
      </c>
      <c r="D90" s="1"/>
      <c r="E90" s="1"/>
      <c r="F90" s="1"/>
      <c r="G90" s="1"/>
      <c r="H90" s="201">
        <v>4</v>
      </c>
      <c r="I90" s="261" t="s">
        <v>11</v>
      </c>
      <c r="K90" s="8"/>
      <c r="L90" s="8"/>
      <c r="M90" s="8"/>
      <c r="N90" s="8"/>
      <c r="O90" s="8"/>
      <c r="P90" s="8"/>
      <c r="Q90" s="110" t="s">
        <v>140</v>
      </c>
      <c r="R90" s="201">
        <v>0</v>
      </c>
      <c r="S90" s="261" t="s">
        <v>11</v>
      </c>
      <c r="U90" s="53"/>
    </row>
    <row r="91" spans="1:21">
      <c r="A91" s="34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1"/>
      <c r="T91" s="1"/>
      <c r="U91" s="53"/>
    </row>
    <row r="92" spans="1:21">
      <c r="A92" s="3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1"/>
      <c r="T92" s="1"/>
      <c r="U92" s="53"/>
    </row>
    <row r="93" spans="1:21">
      <c r="A93" s="34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1"/>
      <c r="T93" s="1"/>
      <c r="U93" s="53"/>
    </row>
    <row r="94" spans="1:21">
      <c r="A94" s="34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1"/>
      <c r="T94" s="1"/>
      <c r="U94" s="53"/>
    </row>
    <row r="95" spans="1:21">
      <c r="A95" s="34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1"/>
      <c r="T95" s="1"/>
      <c r="U95" s="53"/>
    </row>
    <row r="96" spans="1:21">
      <c r="A96" s="34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1"/>
      <c r="T96" s="1"/>
      <c r="U96" s="53"/>
    </row>
    <row r="97" spans="1:21">
      <c r="A97" s="3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53"/>
    </row>
    <row r="98" spans="1:21">
      <c r="A98" s="3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53"/>
    </row>
    <row r="99" spans="1:21">
      <c r="A99" s="3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53"/>
    </row>
    <row r="100" spans="1:21">
      <c r="A100" s="3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53"/>
    </row>
    <row r="101" spans="1:21">
      <c r="A101" s="3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53"/>
    </row>
    <row r="102" spans="1:21">
      <c r="A102" s="3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53"/>
    </row>
    <row r="103" spans="1:21">
      <c r="A103" s="3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53"/>
    </row>
    <row r="104" spans="1:21">
      <c r="A104" s="3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53"/>
    </row>
    <row r="105" spans="1:21">
      <c r="A105" s="3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53"/>
    </row>
    <row r="106" spans="1:21">
      <c r="A106" s="3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53"/>
    </row>
    <row r="107" spans="1:21">
      <c r="A107" s="3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53"/>
    </row>
    <row r="108" spans="1:21">
      <c r="A108" s="3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53"/>
    </row>
    <row r="109" spans="1:21">
      <c r="A109" s="3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53"/>
    </row>
    <row r="110" spans="1:21">
      <c r="A110" s="3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53"/>
    </row>
    <row r="111" spans="1:21">
      <c r="A111" s="3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53"/>
    </row>
    <row r="112" spans="1:21" ht="14.25">
      <c r="A112" s="34"/>
      <c r="B112" s="364"/>
      <c r="C112" s="364"/>
      <c r="D112" s="364"/>
      <c r="E112" s="364"/>
      <c r="F112" s="363" t="s">
        <v>254</v>
      </c>
      <c r="G112" s="364"/>
      <c r="H112" s="364"/>
      <c r="I112" s="363" t="s">
        <v>68</v>
      </c>
      <c r="J112" s="364"/>
      <c r="K112" s="364"/>
      <c r="L112" s="363" t="s">
        <v>355</v>
      </c>
      <c r="M112" s="364"/>
      <c r="N112" s="364"/>
      <c r="O112" s="364"/>
      <c r="P112" s="363" t="s">
        <v>356</v>
      </c>
      <c r="Q112" s="364"/>
      <c r="R112" s="364"/>
      <c r="S112" s="363" t="s">
        <v>357</v>
      </c>
      <c r="T112" s="364"/>
      <c r="U112" s="53"/>
    </row>
    <row r="113" spans="1:28">
      <c r="A113" s="34"/>
      <c r="B113" s="363" t="s">
        <v>141</v>
      </c>
      <c r="C113" s="364"/>
      <c r="D113" s="364"/>
      <c r="E113" s="364"/>
      <c r="F113" s="367">
        <v>0.2</v>
      </c>
      <c r="G113" s="367"/>
      <c r="H113" s="367"/>
      <c r="I113" s="368" t="s">
        <v>142</v>
      </c>
      <c r="J113" s="369"/>
      <c r="K113" s="369"/>
      <c r="L113" s="301">
        <v>0.62</v>
      </c>
      <c r="M113" s="302"/>
      <c r="N113" s="302"/>
      <c r="O113" s="303"/>
      <c r="P113" s="369">
        <v>9.1999999999999993</v>
      </c>
      <c r="Q113" s="369"/>
      <c r="R113" s="369"/>
      <c r="S113" s="371">
        <f>(P113/1000)/(3.1416*F113*F113/4)</f>
        <v>0.29284441049146931</v>
      </c>
      <c r="T113" s="371"/>
      <c r="U113" s="53"/>
      <c r="W113" s="230"/>
    </row>
    <row r="114" spans="1:28">
      <c r="A114" s="34"/>
      <c r="B114" s="363" t="s">
        <v>143</v>
      </c>
      <c r="C114" s="363"/>
      <c r="D114" s="363"/>
      <c r="E114" s="363"/>
      <c r="F114" s="367">
        <v>0.1</v>
      </c>
      <c r="G114" s="367"/>
      <c r="H114" s="367"/>
      <c r="I114" s="368" t="s">
        <v>142</v>
      </c>
      <c r="J114" s="369"/>
      <c r="K114" s="369"/>
      <c r="L114" s="327">
        <v>0.59</v>
      </c>
      <c r="M114" s="323"/>
      <c r="N114" s="323"/>
      <c r="O114" s="328"/>
      <c r="P114" s="369">
        <v>9.1999999999999993</v>
      </c>
      <c r="Q114" s="369"/>
      <c r="R114" s="369"/>
      <c r="S114" s="371">
        <f>(P114/1000)/(3.1416*F114*F114/4)</f>
        <v>1.1713776419658772</v>
      </c>
      <c r="T114" s="371"/>
      <c r="U114" s="53"/>
    </row>
    <row r="115" spans="1:28" ht="9" customHeight="1">
      <c r="A115" s="3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53"/>
    </row>
    <row r="116" spans="1:28" ht="18.75" customHeight="1">
      <c r="A116" s="34"/>
      <c r="B116" s="1" t="s">
        <v>208</v>
      </c>
      <c r="C116" s="1"/>
      <c r="D116" s="1"/>
      <c r="E116" s="1" t="s">
        <v>209</v>
      </c>
      <c r="F116" s="1"/>
      <c r="G116" s="1"/>
      <c r="H116" s="330">
        <v>2345</v>
      </c>
      <c r="I116" s="330"/>
      <c r="J116" s="329" t="s">
        <v>358</v>
      </c>
      <c r="K116" s="329"/>
      <c r="L116" s="1" t="s">
        <v>266</v>
      </c>
      <c r="M116" s="1"/>
      <c r="N116" s="1"/>
      <c r="O116" s="1"/>
      <c r="P116" s="1"/>
      <c r="Q116" s="1"/>
      <c r="R116" s="265">
        <v>2346</v>
      </c>
      <c r="S116" s="331" t="s">
        <v>358</v>
      </c>
      <c r="T116" s="331"/>
      <c r="U116" s="53"/>
    </row>
    <row r="117" spans="1:28" ht="9" customHeight="1">
      <c r="A117" s="34"/>
      <c r="J117" s="297" t="s">
        <v>359</v>
      </c>
      <c r="U117" s="53"/>
    </row>
    <row r="118" spans="1:28" ht="8.25" customHeight="1">
      <c r="A118" s="3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53"/>
    </row>
    <row r="119" spans="1:28">
      <c r="A119" s="34"/>
      <c r="B119" s="36" t="s">
        <v>104</v>
      </c>
      <c r="C119" s="1"/>
      <c r="D119" s="1"/>
      <c r="E119" s="326" t="s">
        <v>360</v>
      </c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53"/>
    </row>
    <row r="120" spans="1:28">
      <c r="A120" s="2"/>
      <c r="B120" s="93"/>
      <c r="C120" s="3"/>
      <c r="D120" s="3"/>
      <c r="E120" s="3"/>
      <c r="F120" s="3" t="s">
        <v>2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4"/>
    </row>
    <row r="121" spans="1:28" ht="9" customHeight="1">
      <c r="A121" s="34"/>
      <c r="B121" s="1"/>
      <c r="C121" s="1"/>
      <c r="D121" s="8"/>
      <c r="E121" s="110"/>
      <c r="F121" s="110"/>
      <c r="G121" s="8"/>
      <c r="H121" s="8"/>
      <c r="I121" s="110"/>
      <c r="J121" s="346"/>
      <c r="K121" s="346"/>
      <c r="L121" s="110"/>
      <c r="M121" s="8"/>
      <c r="N121" s="8"/>
      <c r="O121" s="8"/>
      <c r="P121" s="8"/>
      <c r="Q121" s="110"/>
      <c r="R121" s="16"/>
      <c r="S121" s="16"/>
      <c r="T121" s="11"/>
      <c r="U121" s="9"/>
    </row>
    <row r="122" spans="1:28">
      <c r="A122" s="343" t="s">
        <v>144</v>
      </c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5"/>
    </row>
    <row r="123" spans="1:28">
      <c r="A123" s="192"/>
      <c r="B123" s="1" t="s">
        <v>145</v>
      </c>
      <c r="C123" s="1"/>
      <c r="D123" s="1"/>
      <c r="E123" s="1"/>
      <c r="F123" s="1"/>
      <c r="G123" s="105" t="s">
        <v>72</v>
      </c>
      <c r="H123" s="105"/>
      <c r="I123" s="324">
        <v>265.58999999999997</v>
      </c>
      <c r="J123" s="324"/>
      <c r="K123" s="1"/>
      <c r="L123" s="105" t="s">
        <v>73</v>
      </c>
      <c r="M123" s="324">
        <v>267.32</v>
      </c>
      <c r="N123" s="324"/>
      <c r="O123" s="324"/>
      <c r="P123" s="324"/>
      <c r="Q123" s="1"/>
      <c r="R123" s="105" t="s">
        <v>258</v>
      </c>
      <c r="S123" s="324">
        <v>267.89999999999998</v>
      </c>
      <c r="T123" s="324"/>
      <c r="U123" s="53"/>
      <c r="X123" t="s">
        <v>2</v>
      </c>
    </row>
    <row r="124" spans="1:28">
      <c r="A124" s="192"/>
      <c r="B124" s="1" t="s">
        <v>146</v>
      </c>
      <c r="C124" s="1"/>
      <c r="D124" s="1"/>
      <c r="E124" s="8"/>
      <c r="F124" s="8"/>
      <c r="G124" s="109" t="s">
        <v>13</v>
      </c>
      <c r="H124" s="109"/>
      <c r="I124" s="304">
        <v>37</v>
      </c>
      <c r="J124" s="304"/>
      <c r="K124" s="110"/>
      <c r="L124" s="109" t="s">
        <v>14</v>
      </c>
      <c r="M124" s="304">
        <v>43</v>
      </c>
      <c r="N124" s="304"/>
      <c r="O124" s="304"/>
      <c r="P124" s="304"/>
      <c r="Q124" s="110"/>
      <c r="R124" s="109" t="s">
        <v>15</v>
      </c>
      <c r="S124" s="304">
        <v>38</v>
      </c>
      <c r="T124" s="304"/>
      <c r="U124" s="53"/>
      <c r="W124" s="12"/>
      <c r="X124" s="12"/>
      <c r="Y124" s="12"/>
      <c r="Z124" s="12"/>
      <c r="AB124" s="12"/>
    </row>
    <row r="125" spans="1:28">
      <c r="A125" s="192"/>
      <c r="B125" s="1" t="s">
        <v>147</v>
      </c>
      <c r="C125" s="1"/>
      <c r="D125" s="1"/>
      <c r="E125" s="8"/>
      <c r="F125" s="8"/>
      <c r="G125" s="109" t="s">
        <v>16</v>
      </c>
      <c r="H125" s="109"/>
      <c r="I125" s="304">
        <v>7.4</v>
      </c>
      <c r="J125" s="304"/>
      <c r="K125" s="110"/>
      <c r="L125" s="109" t="s">
        <v>17</v>
      </c>
      <c r="M125" s="304">
        <v>8.9</v>
      </c>
      <c r="N125" s="304"/>
      <c r="O125" s="304"/>
      <c r="P125" s="304"/>
      <c r="Q125" s="110"/>
      <c r="R125" s="109" t="s">
        <v>18</v>
      </c>
      <c r="S125" s="304">
        <v>8.3000000000000007</v>
      </c>
      <c r="T125" s="304"/>
      <c r="U125" s="53"/>
      <c r="Z125" s="12"/>
    </row>
    <row r="126" spans="1:28">
      <c r="A126" s="192"/>
      <c r="B126" s="1" t="s">
        <v>148</v>
      </c>
      <c r="C126" s="1"/>
      <c r="D126" s="1"/>
      <c r="E126" s="8"/>
      <c r="F126" s="8"/>
      <c r="G126" s="109" t="s">
        <v>259</v>
      </c>
      <c r="H126" s="109"/>
      <c r="I126" s="377">
        <v>0.77</v>
      </c>
      <c r="J126" s="377"/>
      <c r="K126" s="8"/>
      <c r="L126" s="109" t="s">
        <v>19</v>
      </c>
      <c r="M126" s="377">
        <v>0.78</v>
      </c>
      <c r="N126" s="377"/>
      <c r="O126" s="377"/>
      <c r="P126" s="377"/>
      <c r="Q126" s="8"/>
      <c r="R126" s="109" t="s">
        <v>20</v>
      </c>
      <c r="S126" s="377">
        <v>0.77</v>
      </c>
      <c r="T126" s="377"/>
      <c r="U126" s="53"/>
    </row>
    <row r="127" spans="1:28">
      <c r="A127" s="192"/>
      <c r="B127" s="35" t="s">
        <v>149</v>
      </c>
      <c r="C127" s="1"/>
      <c r="D127" s="1"/>
      <c r="E127" s="8"/>
      <c r="F127" s="8"/>
      <c r="G127" s="109" t="s">
        <v>30</v>
      </c>
      <c r="H127" s="109"/>
      <c r="I127" s="304">
        <v>2.2999999999999998</v>
      </c>
      <c r="J127" s="304"/>
      <c r="K127" s="8"/>
      <c r="L127" s="109" t="s">
        <v>31</v>
      </c>
      <c r="M127" s="304">
        <v>3.1</v>
      </c>
      <c r="N127" s="304"/>
      <c r="O127" s="304"/>
      <c r="P127" s="304"/>
      <c r="Q127" s="8"/>
      <c r="R127" s="109"/>
      <c r="S127" s="1"/>
      <c r="T127" s="1"/>
      <c r="U127" s="53"/>
    </row>
    <row r="128" spans="1:28">
      <c r="A128" s="192"/>
      <c r="B128" s="37" t="s">
        <v>267</v>
      </c>
      <c r="C128" s="1"/>
      <c r="D128" s="106"/>
      <c r="E128" s="110"/>
      <c r="F128" s="300" t="s">
        <v>268</v>
      </c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/>
      <c r="T128" s="300"/>
      <c r="U128" s="53"/>
    </row>
    <row r="129" spans="1:21">
      <c r="A129" s="192"/>
      <c r="B129" s="37" t="s">
        <v>150</v>
      </c>
      <c r="C129" s="1"/>
      <c r="D129" s="106"/>
      <c r="E129" s="110"/>
      <c r="F129" s="110"/>
      <c r="G129" s="109" t="s">
        <v>13</v>
      </c>
      <c r="H129" s="109"/>
      <c r="I129" s="304">
        <v>28</v>
      </c>
      <c r="J129" s="304"/>
      <c r="K129" s="110"/>
      <c r="L129" s="109" t="s">
        <v>14</v>
      </c>
      <c r="M129" s="304">
        <v>31</v>
      </c>
      <c r="N129" s="304"/>
      <c r="O129" s="304"/>
      <c r="P129" s="304"/>
      <c r="Q129" s="8"/>
      <c r="R129" s="109" t="s">
        <v>15</v>
      </c>
      <c r="S129" s="304">
        <v>29</v>
      </c>
      <c r="T129" s="304"/>
      <c r="U129" s="53"/>
    </row>
    <row r="130" spans="1:21" ht="15.75">
      <c r="A130" s="192"/>
      <c r="B130" s="37" t="s">
        <v>151</v>
      </c>
      <c r="C130" s="1"/>
      <c r="D130" s="106"/>
      <c r="E130" s="110"/>
      <c r="F130" s="378" t="s">
        <v>152</v>
      </c>
      <c r="G130" s="378"/>
      <c r="H130" s="184"/>
      <c r="I130" s="269" t="s">
        <v>101</v>
      </c>
      <c r="J130" s="269" t="s">
        <v>5</v>
      </c>
      <c r="K130" s="305" t="s">
        <v>112</v>
      </c>
      <c r="L130" s="305"/>
      <c r="M130" s="304"/>
      <c r="N130" s="304"/>
      <c r="O130" s="304"/>
      <c r="P130" s="38" t="s">
        <v>8</v>
      </c>
      <c r="Q130" s="305" t="s">
        <v>153</v>
      </c>
      <c r="R130" s="305"/>
      <c r="S130" s="201"/>
      <c r="T130" s="270" t="s">
        <v>22</v>
      </c>
      <c r="U130" s="53"/>
    </row>
    <row r="131" spans="1:21">
      <c r="A131" s="192"/>
      <c r="B131" s="37" t="s">
        <v>104</v>
      </c>
      <c r="C131" s="1"/>
      <c r="D131" s="106"/>
      <c r="E131" s="209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53"/>
    </row>
    <row r="132" spans="1:21">
      <c r="A132" s="192"/>
      <c r="B132" s="322"/>
      <c r="C132" s="322"/>
      <c r="D132" s="322"/>
      <c r="E132" s="322"/>
      <c r="F132" s="322"/>
      <c r="G132" s="322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322"/>
      <c r="U132" s="53"/>
    </row>
    <row r="133" spans="1:21">
      <c r="A133" s="266"/>
      <c r="B133" s="267"/>
      <c r="C133" s="3"/>
      <c r="D133" s="268"/>
      <c r="E133" s="27"/>
      <c r="F133" s="27"/>
      <c r="G133" s="246"/>
      <c r="H133" s="246"/>
      <c r="I133" s="27"/>
      <c r="J133" s="27"/>
      <c r="K133" s="27"/>
      <c r="L133" s="246"/>
      <c r="M133" s="183"/>
      <c r="N133" s="183"/>
      <c r="O133" s="183"/>
      <c r="P133" s="27"/>
      <c r="Q133" s="13"/>
      <c r="R133" s="246"/>
      <c r="S133" s="3"/>
      <c r="T133" s="3"/>
      <c r="U133" s="4"/>
    </row>
    <row r="134" spans="1:21" ht="9.75" customHeight="1">
      <c r="A134" s="3"/>
      <c r="B134" s="37"/>
      <c r="D134" s="106"/>
      <c r="E134" s="110"/>
      <c r="F134" s="110"/>
      <c r="G134" s="109"/>
      <c r="H134" s="109"/>
      <c r="I134" s="110"/>
      <c r="J134" s="110"/>
      <c r="K134" s="110"/>
      <c r="L134" s="109"/>
      <c r="M134" s="108"/>
      <c r="N134" s="108"/>
      <c r="O134" s="108"/>
      <c r="P134" s="110"/>
      <c r="Q134" s="8"/>
      <c r="R134" s="109"/>
      <c r="S134" s="1"/>
      <c r="T134" s="1"/>
      <c r="U134" s="1"/>
    </row>
    <row r="135" spans="1:21">
      <c r="A135" s="379" t="s">
        <v>154</v>
      </c>
      <c r="B135" s="380"/>
      <c r="C135" s="380"/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0"/>
      <c r="U135" s="381"/>
    </row>
    <row r="136" spans="1:21" ht="8.25" customHeight="1">
      <c r="A136" s="192"/>
      <c r="B136" s="1"/>
      <c r="C136" s="1"/>
      <c r="D136" s="1"/>
      <c r="E136" s="1"/>
      <c r="F136" s="1"/>
      <c r="G136" s="1"/>
      <c r="H136" s="1"/>
      <c r="I136" s="1"/>
      <c r="J136" s="10"/>
      <c r="K136" s="10"/>
      <c r="L136" s="1"/>
      <c r="M136" s="1"/>
      <c r="N136" s="10"/>
      <c r="O136" s="10"/>
      <c r="P136" s="10"/>
      <c r="Q136" s="10"/>
      <c r="R136" s="10"/>
      <c r="S136" s="1"/>
      <c r="T136" s="1"/>
      <c r="U136" s="187"/>
    </row>
    <row r="137" spans="1:21" ht="12.75" customHeight="1">
      <c r="A137" s="192"/>
      <c r="B137" s="382" t="s">
        <v>269</v>
      </c>
      <c r="C137" s="383"/>
      <c r="D137" s="384"/>
      <c r="E137" s="376" t="s">
        <v>270</v>
      </c>
      <c r="F137" s="376"/>
      <c r="G137" s="376"/>
      <c r="H137" s="376" t="s">
        <v>271</v>
      </c>
      <c r="I137" s="376"/>
      <c r="J137" s="376"/>
      <c r="K137" s="376"/>
      <c r="L137" s="376"/>
      <c r="M137" s="391" t="s">
        <v>272</v>
      </c>
      <c r="N137" s="376"/>
      <c r="O137" s="376"/>
      <c r="P137" s="376"/>
      <c r="Q137" s="376"/>
      <c r="R137" s="376" t="s">
        <v>273</v>
      </c>
      <c r="S137" s="376"/>
      <c r="T137" s="376"/>
      <c r="U137" s="53"/>
    </row>
    <row r="138" spans="1:21">
      <c r="A138" s="192"/>
      <c r="B138" s="385"/>
      <c r="C138" s="386"/>
      <c r="D138" s="387"/>
      <c r="E138" s="136" t="s">
        <v>8</v>
      </c>
      <c r="F138" s="136" t="s">
        <v>23</v>
      </c>
      <c r="G138" s="136" t="s">
        <v>24</v>
      </c>
      <c r="H138" s="376" t="s">
        <v>8</v>
      </c>
      <c r="I138" s="376"/>
      <c r="J138" s="136" t="s">
        <v>23</v>
      </c>
      <c r="K138" s="376" t="s">
        <v>24</v>
      </c>
      <c r="L138" s="376"/>
      <c r="M138" s="136" t="s">
        <v>8</v>
      </c>
      <c r="N138" s="376" t="s">
        <v>23</v>
      </c>
      <c r="O138" s="376"/>
      <c r="P138" s="376"/>
      <c r="Q138" s="136" t="s">
        <v>24</v>
      </c>
      <c r="R138" s="136" t="s">
        <v>8</v>
      </c>
      <c r="S138" s="136" t="s">
        <v>23</v>
      </c>
      <c r="T138" s="136" t="s">
        <v>24</v>
      </c>
      <c r="U138" s="53"/>
    </row>
    <row r="139" spans="1:21">
      <c r="A139" s="192"/>
      <c r="B139" s="388"/>
      <c r="C139" s="389"/>
      <c r="D139" s="390"/>
      <c r="E139" s="212">
        <v>39</v>
      </c>
      <c r="F139" s="213">
        <v>41</v>
      </c>
      <c r="G139" s="213">
        <v>39</v>
      </c>
      <c r="H139" s="393">
        <v>37</v>
      </c>
      <c r="I139" s="393"/>
      <c r="J139" s="213">
        <v>37</v>
      </c>
      <c r="K139" s="393">
        <v>37</v>
      </c>
      <c r="L139" s="393"/>
      <c r="M139" s="213">
        <v>33</v>
      </c>
      <c r="N139" s="393">
        <v>34</v>
      </c>
      <c r="O139" s="393"/>
      <c r="P139" s="393"/>
      <c r="Q139" s="213">
        <v>34</v>
      </c>
      <c r="R139" s="213">
        <v>37</v>
      </c>
      <c r="S139" s="213">
        <v>38</v>
      </c>
      <c r="T139" s="213">
        <v>38</v>
      </c>
      <c r="U139" s="53"/>
    </row>
    <row r="140" spans="1:21" ht="3.75" customHeight="1">
      <c r="A140" s="192"/>
      <c r="B140" s="29"/>
      <c r="C140" s="29"/>
      <c r="D140" s="29"/>
      <c r="E140" s="10"/>
      <c r="F140" s="1"/>
      <c r="G140" s="1"/>
      <c r="H140" s="72"/>
      <c r="I140" s="72"/>
      <c r="J140" s="50"/>
      <c r="K140" s="50"/>
      <c r="L140" s="50"/>
      <c r="M140" s="50"/>
      <c r="N140" s="50"/>
      <c r="O140" s="50"/>
      <c r="P140" s="50"/>
      <c r="Q140" s="10"/>
      <c r="R140" s="10"/>
      <c r="S140" s="10"/>
      <c r="T140" s="10"/>
      <c r="U140" s="53"/>
    </row>
    <row r="141" spans="1:21">
      <c r="A141" s="192"/>
      <c r="B141" s="363" t="s">
        <v>29</v>
      </c>
      <c r="C141" s="364"/>
      <c r="D141" s="364"/>
      <c r="E141" s="364"/>
      <c r="F141" s="392" t="s">
        <v>155</v>
      </c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  <c r="R141" s="363"/>
      <c r="S141" s="363"/>
      <c r="T141" s="363"/>
      <c r="U141" s="53"/>
    </row>
    <row r="142" spans="1:21" ht="12.75" customHeight="1">
      <c r="A142" s="192"/>
      <c r="B142" s="382" t="s">
        <v>156</v>
      </c>
      <c r="C142" s="397"/>
      <c r="D142" s="391" t="s">
        <v>157</v>
      </c>
      <c r="E142" s="376"/>
      <c r="F142" s="400" t="s">
        <v>274</v>
      </c>
      <c r="G142" s="376"/>
      <c r="H142" s="376"/>
      <c r="I142" s="376"/>
      <c r="J142" s="391" t="s">
        <v>275</v>
      </c>
      <c r="K142" s="391"/>
      <c r="L142" s="391"/>
      <c r="M142" s="391"/>
      <c r="N142" s="391"/>
      <c r="O142" s="391"/>
      <c r="P142" s="391"/>
      <c r="Q142" s="391" t="s">
        <v>158</v>
      </c>
      <c r="R142" s="376"/>
      <c r="S142" s="391" t="s">
        <v>159</v>
      </c>
      <c r="T142" s="376"/>
      <c r="U142" s="53"/>
    </row>
    <row r="143" spans="1:21">
      <c r="A143" s="192"/>
      <c r="B143" s="398"/>
      <c r="C143" s="399"/>
      <c r="D143" s="113" t="s">
        <v>160</v>
      </c>
      <c r="E143" s="113" t="s">
        <v>161</v>
      </c>
      <c r="F143" s="114" t="s">
        <v>25</v>
      </c>
      <c r="G143" s="113" t="s">
        <v>27</v>
      </c>
      <c r="H143" s="391" t="s">
        <v>28</v>
      </c>
      <c r="I143" s="376"/>
      <c r="J143" s="113" t="s">
        <v>26</v>
      </c>
      <c r="K143" s="391" t="s">
        <v>25</v>
      </c>
      <c r="L143" s="376"/>
      <c r="M143" s="113" t="s">
        <v>27</v>
      </c>
      <c r="N143" s="391" t="s">
        <v>28</v>
      </c>
      <c r="O143" s="376"/>
      <c r="P143" s="376"/>
      <c r="Q143" s="113" t="s">
        <v>160</v>
      </c>
      <c r="R143" s="113" t="s">
        <v>161</v>
      </c>
      <c r="S143" s="113" t="s">
        <v>160</v>
      </c>
      <c r="T143" s="113" t="s">
        <v>161</v>
      </c>
      <c r="U143" s="53"/>
    </row>
    <row r="144" spans="1:21">
      <c r="A144" s="192"/>
      <c r="B144" s="394" t="s">
        <v>162</v>
      </c>
      <c r="C144" s="395"/>
      <c r="D144" s="213" t="s">
        <v>162</v>
      </c>
      <c r="E144" s="213" t="s">
        <v>162</v>
      </c>
      <c r="F144" s="214" t="s">
        <v>162</v>
      </c>
      <c r="G144" s="215" t="s">
        <v>162</v>
      </c>
      <c r="H144" s="396" t="s">
        <v>162</v>
      </c>
      <c r="I144" s="393"/>
      <c r="J144" s="213">
        <v>31</v>
      </c>
      <c r="K144" s="393">
        <v>28</v>
      </c>
      <c r="L144" s="393"/>
      <c r="M144" s="213">
        <v>27</v>
      </c>
      <c r="N144" s="393">
        <v>36</v>
      </c>
      <c r="O144" s="393"/>
      <c r="P144" s="393"/>
      <c r="Q144" s="213">
        <v>26</v>
      </c>
      <c r="R144" s="213">
        <v>23</v>
      </c>
      <c r="S144" s="213">
        <v>23</v>
      </c>
      <c r="T144" s="213">
        <v>19</v>
      </c>
      <c r="U144" s="53"/>
    </row>
    <row r="145" spans="1:21">
      <c r="A145" s="192"/>
      <c r="B145" s="68" t="s">
        <v>104</v>
      </c>
      <c r="C145" s="50"/>
      <c r="D145" s="10"/>
      <c r="E145" s="306" t="s">
        <v>276</v>
      </c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53"/>
    </row>
    <row r="146" spans="1:21">
      <c r="A146" s="34"/>
      <c r="B146" s="322" t="s">
        <v>2</v>
      </c>
      <c r="C146" s="322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53"/>
    </row>
    <row r="147" spans="1:21" ht="7.5" customHeight="1">
      <c r="A147" s="2"/>
      <c r="B147" s="3"/>
      <c r="C147" s="3"/>
      <c r="D147" s="3"/>
      <c r="E147" s="28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401"/>
      <c r="S147" s="402"/>
      <c r="T147" s="402"/>
      <c r="U147" s="4"/>
    </row>
    <row r="148" spans="1:21" ht="9" customHeight="1">
      <c r="A148" s="1"/>
      <c r="B148" s="1"/>
      <c r="C148" s="1"/>
      <c r="D148" s="1"/>
      <c r="E148" s="18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09"/>
      <c r="S148" s="110"/>
      <c r="T148" s="110"/>
      <c r="U148" s="1"/>
    </row>
    <row r="149" spans="1:21" ht="12.95" customHeight="1">
      <c r="A149" s="403" t="s">
        <v>163</v>
      </c>
      <c r="B149" s="404"/>
      <c r="C149" s="404"/>
      <c r="D149" s="404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404"/>
      <c r="R149" s="404"/>
      <c r="S149" s="404"/>
      <c r="T149" s="404"/>
      <c r="U149" s="405"/>
    </row>
    <row r="150" spans="1:21" ht="12.95" customHeight="1">
      <c r="A150" s="34"/>
      <c r="B150" s="406" t="s">
        <v>165</v>
      </c>
      <c r="C150" s="406"/>
      <c r="D150" s="406"/>
      <c r="E150" s="406"/>
      <c r="F150" s="406"/>
      <c r="G150" s="391" t="s">
        <v>168</v>
      </c>
      <c r="H150" s="363" t="s">
        <v>318</v>
      </c>
      <c r="I150" s="364"/>
      <c r="J150" s="363" t="s">
        <v>169</v>
      </c>
      <c r="K150" s="363"/>
      <c r="L150" s="363"/>
      <c r="M150" s="363"/>
      <c r="N150" s="407" t="s">
        <v>170</v>
      </c>
      <c r="O150" s="407"/>
      <c r="P150" s="407"/>
      <c r="Q150" s="185" t="s">
        <v>317</v>
      </c>
      <c r="R150" s="407" t="s">
        <v>171</v>
      </c>
      <c r="S150" s="407"/>
      <c r="T150" s="407"/>
      <c r="U150" s="53"/>
    </row>
    <row r="151" spans="1:21" ht="12.95" customHeight="1">
      <c r="A151" s="34"/>
      <c r="B151" s="406"/>
      <c r="C151" s="406"/>
      <c r="D151" s="406"/>
      <c r="E151" s="406"/>
      <c r="F151" s="406"/>
      <c r="G151" s="391"/>
      <c r="H151" s="363" t="s">
        <v>11</v>
      </c>
      <c r="I151" s="363"/>
      <c r="J151" s="408" t="s">
        <v>32</v>
      </c>
      <c r="K151" s="409"/>
      <c r="L151" s="408" t="s">
        <v>22</v>
      </c>
      <c r="M151" s="409"/>
      <c r="N151" s="363" t="s">
        <v>8</v>
      </c>
      <c r="O151" s="363"/>
      <c r="P151" s="363"/>
      <c r="Q151" s="113" t="s">
        <v>172</v>
      </c>
      <c r="R151" s="107" t="s">
        <v>4</v>
      </c>
      <c r="S151" s="363" t="s">
        <v>37</v>
      </c>
      <c r="T151" s="363"/>
      <c r="U151" s="53"/>
    </row>
    <row r="152" spans="1:21" ht="12.95" customHeight="1">
      <c r="A152" s="34"/>
      <c r="B152" s="412" t="s">
        <v>164</v>
      </c>
      <c r="C152" s="413"/>
      <c r="D152" s="409" t="s">
        <v>166</v>
      </c>
      <c r="E152" s="416"/>
      <c r="F152" s="417"/>
      <c r="G152" s="216" t="s">
        <v>173</v>
      </c>
      <c r="H152" s="418">
        <f>S51</f>
        <v>18</v>
      </c>
      <c r="I152" s="419"/>
      <c r="J152" s="420">
        <v>0.16400000000000001</v>
      </c>
      <c r="K152" s="421"/>
      <c r="L152" s="422">
        <f>J152*H152/1000</f>
        <v>2.9519999999999998E-3</v>
      </c>
      <c r="M152" s="422"/>
      <c r="N152" s="411">
        <f>E160</f>
        <v>39.333333333333336</v>
      </c>
      <c r="O152" s="411"/>
      <c r="P152" s="411"/>
      <c r="Q152" s="236">
        <f>R66</f>
        <v>8736</v>
      </c>
      <c r="R152" s="237">
        <f>N152*N152*L152*3/1000</f>
        <v>1.3701216000000002E-2</v>
      </c>
      <c r="S152" s="410">
        <f>Q152*R152</f>
        <v>119.69382297600002</v>
      </c>
      <c r="T152" s="410"/>
      <c r="U152" s="53"/>
    </row>
    <row r="153" spans="1:21" ht="12.95" customHeight="1">
      <c r="A153" s="34"/>
      <c r="B153" s="414"/>
      <c r="C153" s="415"/>
      <c r="D153" s="409" t="s">
        <v>167</v>
      </c>
      <c r="E153" s="416"/>
      <c r="F153" s="417"/>
      <c r="G153" s="216" t="s">
        <v>173</v>
      </c>
      <c r="H153" s="418">
        <f>S56</f>
        <v>152.5</v>
      </c>
      <c r="I153" s="419"/>
      <c r="J153" s="420">
        <v>0.16400000000000001</v>
      </c>
      <c r="K153" s="421"/>
      <c r="L153" s="422">
        <f>J153*H153/1000</f>
        <v>2.5010000000000001E-2</v>
      </c>
      <c r="M153" s="422"/>
      <c r="N153" s="411">
        <f>N152</f>
        <v>39.333333333333336</v>
      </c>
      <c r="O153" s="411"/>
      <c r="P153" s="411"/>
      <c r="Q153" s="236">
        <f>Q152</f>
        <v>8736</v>
      </c>
      <c r="R153" s="237">
        <f>N153*N153*L153*3/1000</f>
        <v>0.11607974666666669</v>
      </c>
      <c r="S153" s="410">
        <f>Q153*R153</f>
        <v>1014.0726668800003</v>
      </c>
      <c r="T153" s="410"/>
      <c r="U153" s="53"/>
    </row>
    <row r="154" spans="1:21" ht="7.5" customHeight="1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4"/>
    </row>
    <row r="155" spans="1:21" ht="7.5" customHeight="1"/>
    <row r="156" spans="1:21" ht="14.1" customHeight="1">
      <c r="A156" s="343" t="s">
        <v>319</v>
      </c>
      <c r="B156" s="344"/>
      <c r="C156" s="344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U156" s="345"/>
    </row>
    <row r="157" spans="1:21" ht="5.25" customHeight="1">
      <c r="A157" s="20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5"/>
    </row>
    <row r="158" spans="1:21" ht="14.1" customHeight="1">
      <c r="A158" s="20"/>
      <c r="B158" s="32"/>
      <c r="C158" s="115"/>
      <c r="D158" s="115"/>
      <c r="E158" s="428" t="s">
        <v>177</v>
      </c>
      <c r="F158" s="428"/>
      <c r="G158" s="428" t="s">
        <v>178</v>
      </c>
      <c r="H158" s="428"/>
      <c r="I158" s="428"/>
      <c r="J158" s="428" t="s">
        <v>179</v>
      </c>
      <c r="K158" s="428"/>
      <c r="L158" s="428"/>
      <c r="M158" s="428" t="s">
        <v>33</v>
      </c>
      <c r="N158" s="429"/>
      <c r="O158" s="31"/>
      <c r="P158" s="435" t="s">
        <v>180</v>
      </c>
      <c r="Q158" s="436"/>
      <c r="R158" s="436"/>
      <c r="S158" s="436"/>
      <c r="T158" s="437"/>
      <c r="U158" s="15"/>
    </row>
    <row r="159" spans="1:21" ht="14.1" customHeight="1">
      <c r="A159" s="20"/>
      <c r="B159" s="33" t="s">
        <v>174</v>
      </c>
      <c r="C159" s="14"/>
      <c r="D159" s="14"/>
      <c r="E159" s="446">
        <f>AVERAGE(I123,M123,S123)*1.732-L153*N153</f>
        <v>461.35058000000004</v>
      </c>
      <c r="F159" s="446"/>
      <c r="G159" s="426">
        <f>MAX(ABS(AVERAGE(I123,M123,S123)-I123),ABS(AVERAGE(I123,M123,S123)-M123),ABS(AVERAGE(I123,M123,S123)-S123))/(E159/1.732)</f>
        <v>5.0556491479141763E-3</v>
      </c>
      <c r="H159" s="426"/>
      <c r="I159" s="426"/>
      <c r="J159" s="423" t="str">
        <f>IF(G159&lt;0.01,"mínimo",IF(G159&lt;0.02,"bajo",IF(G159&lt;0.025,"medio",IF(G159&lt;0.04,"alto","muy alto"))))</f>
        <v>mínimo</v>
      </c>
      <c r="K159" s="423"/>
      <c r="L159" s="423"/>
      <c r="M159" s="424">
        <f>(E159-L62)/L62</f>
        <v>4.8524045454545535E-2</v>
      </c>
      <c r="N159" s="425"/>
      <c r="O159" s="39"/>
      <c r="P159" s="317" t="s">
        <v>323</v>
      </c>
      <c r="Q159" s="305"/>
      <c r="R159" s="305"/>
      <c r="S159" s="426">
        <f>E166</f>
        <v>0.69365637339705111</v>
      </c>
      <c r="T159" s="427"/>
      <c r="U159" s="15"/>
    </row>
    <row r="160" spans="1:21" ht="14.1" customHeight="1">
      <c r="A160" s="20"/>
      <c r="B160" s="33" t="s">
        <v>175</v>
      </c>
      <c r="C160" s="14"/>
      <c r="D160" s="94"/>
      <c r="E160" s="446">
        <f>AVERAGE(I124,M124,S124)</f>
        <v>39.333333333333336</v>
      </c>
      <c r="F160" s="446"/>
      <c r="G160" s="426">
        <f>MAX(ABS(E160-I124),ABS(E160-M124),ABS(E160-S124))/E160</f>
        <v>9.3220338983050779E-2</v>
      </c>
      <c r="H160" s="426"/>
      <c r="I160" s="426"/>
      <c r="J160" s="423" t="str">
        <f>IF(G160&lt;0.01,"medio",IF(G160&lt;0.03,"bajo",IF(G160&lt;0.075,"medio",IF(G160&lt;0.1,"alto","muy alto"))))</f>
        <v>alto</v>
      </c>
      <c r="K160" s="423"/>
      <c r="L160" s="423"/>
      <c r="M160" s="447"/>
      <c r="N160" s="448"/>
      <c r="O160" s="39"/>
      <c r="P160" s="317" t="s">
        <v>320</v>
      </c>
      <c r="Q160" s="305"/>
      <c r="R160" s="305"/>
      <c r="S160" s="443">
        <f>F166</f>
        <v>0.84612687253205898</v>
      </c>
      <c r="T160" s="444"/>
      <c r="U160" s="15"/>
    </row>
    <row r="161" spans="1:26" ht="14.1" customHeight="1">
      <c r="A161" s="20"/>
      <c r="B161" s="33" t="s">
        <v>176</v>
      </c>
      <c r="C161" s="14"/>
      <c r="D161" s="14"/>
      <c r="E161" s="446">
        <f>SUM(I125,M125,S125)-R153</f>
        <v>24.483920253333334</v>
      </c>
      <c r="F161" s="446"/>
      <c r="G161" s="426">
        <f>MAX(ABS(AVERAGE(I125,M125,S125)-I125),ABS(AVERAGE(I125,M125,S125)-M125),ABS(AVERAGE(I125,M125,S125)-S125))/(AVERAGE(I125,M125,S125))</f>
        <v>9.756097560975617E-2</v>
      </c>
      <c r="H161" s="426"/>
      <c r="I161" s="426"/>
      <c r="J161" s="423" t="str">
        <f>IF(G161&lt;0.01,"mínimo",IF(G161&lt;0.03,"bajo",IF(G161&lt;0.05,"medio",IF(G161&lt;0.1,"alto","muy alto"))))</f>
        <v>alto</v>
      </c>
      <c r="K161" s="423"/>
      <c r="L161" s="423"/>
      <c r="M161" s="447"/>
      <c r="N161" s="448"/>
      <c r="O161" s="39"/>
      <c r="P161" s="317" t="s">
        <v>321</v>
      </c>
      <c r="Q161" s="305"/>
      <c r="R161" s="305"/>
      <c r="S161" s="426">
        <f>S160-S162</f>
        <v>6.9278971051378591E-4</v>
      </c>
      <c r="T161" s="427"/>
      <c r="U161" s="15"/>
    </row>
    <row r="162" spans="1:26" ht="14.1" customHeight="1">
      <c r="A162" s="20"/>
      <c r="B162" s="196" t="s">
        <v>324</v>
      </c>
      <c r="C162" s="95"/>
      <c r="D162" s="30"/>
      <c r="E162" s="459">
        <f>E161*1000/(E159*E160*1.732)</f>
        <v>0.77900679356584368</v>
      </c>
      <c r="F162" s="459"/>
      <c r="G162" s="441">
        <f>MAX(ABS(AVERAGE(I126,M126,S126)-I126),ABS(AVERAGE(I126,M126,S126)-M126),ABS(AVERAGE(I126,M126,S126)-S126))/E162</f>
        <v>8.5579056841731047E-3</v>
      </c>
      <c r="H162" s="441"/>
      <c r="I162" s="441"/>
      <c r="J162" s="460" t="str">
        <f>IF(G162&lt;0.01,"mínimo",IF(G162&lt;0.03,"bajo",IF(G162&lt;0.05,"medio",IF(G162&lt;0.1,"alto","muy alto"))))</f>
        <v>mínimo</v>
      </c>
      <c r="K162" s="460"/>
      <c r="L162" s="460"/>
      <c r="M162" s="439"/>
      <c r="N162" s="440"/>
      <c r="O162" s="39"/>
      <c r="P162" s="318" t="s">
        <v>322</v>
      </c>
      <c r="Q162" s="319"/>
      <c r="R162" s="319"/>
      <c r="S162" s="441">
        <f>R166*(S160+P166-M166-K166)</f>
        <v>0.8454340828215452</v>
      </c>
      <c r="T162" s="442"/>
      <c r="U162" s="15"/>
    </row>
    <row r="163" spans="1:26" ht="14.1" customHeight="1">
      <c r="A163" s="20"/>
      <c r="B163" s="96"/>
      <c r="C163" s="95"/>
      <c r="D163" s="30"/>
      <c r="E163" s="117"/>
      <c r="F163" s="117"/>
      <c r="G163" s="118"/>
      <c r="H163" s="118"/>
      <c r="I163" s="118"/>
      <c r="J163" s="112"/>
      <c r="K163" s="112"/>
      <c r="L163" s="112"/>
      <c r="M163" s="118"/>
      <c r="N163" s="118"/>
      <c r="O163" s="39"/>
      <c r="P163" s="77"/>
      <c r="Q163" s="112"/>
      <c r="R163" s="112"/>
      <c r="S163" s="118"/>
      <c r="T163" s="116"/>
      <c r="U163" s="15"/>
    </row>
    <row r="164" spans="1:26" ht="14.1" customHeight="1">
      <c r="A164" s="20"/>
      <c r="B164" s="97"/>
      <c r="C164" s="392" t="s">
        <v>181</v>
      </c>
      <c r="D164" s="363"/>
      <c r="E164" s="363"/>
      <c r="F164" s="363"/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63"/>
      <c r="R164" s="363"/>
      <c r="S164" s="408"/>
      <c r="T164" s="98"/>
      <c r="U164" s="15"/>
    </row>
    <row r="165" spans="1:26" ht="14.1" customHeight="1">
      <c r="A165" s="20"/>
      <c r="B165" s="97"/>
      <c r="C165" s="272" t="s">
        <v>0</v>
      </c>
      <c r="D165" s="273" t="s">
        <v>325</v>
      </c>
      <c r="E165" s="273" t="s">
        <v>39</v>
      </c>
      <c r="F165" s="273" t="s">
        <v>40</v>
      </c>
      <c r="G165" s="438" t="s">
        <v>41</v>
      </c>
      <c r="H165" s="438"/>
      <c r="I165" s="438" t="s">
        <v>326</v>
      </c>
      <c r="J165" s="438"/>
      <c r="K165" s="438" t="s">
        <v>43</v>
      </c>
      <c r="L165" s="438"/>
      <c r="M165" s="438" t="s">
        <v>196</v>
      </c>
      <c r="N165" s="438"/>
      <c r="O165" s="438"/>
      <c r="P165" s="438" t="s">
        <v>45</v>
      </c>
      <c r="Q165" s="438"/>
      <c r="R165" s="438" t="s">
        <v>46</v>
      </c>
      <c r="S165" s="445"/>
      <c r="T165" s="98"/>
      <c r="U165" s="15"/>
    </row>
    <row r="166" spans="1:26" ht="14.1" customHeight="1">
      <c r="A166" s="20"/>
      <c r="B166" s="97"/>
      <c r="C166" s="271">
        <f>E63</f>
        <v>40</v>
      </c>
      <c r="D166" s="213">
        <v>0.84540000000000004</v>
      </c>
      <c r="E166" s="274">
        <f>E161*D166/0.746/C166</f>
        <v>0.69365637339705111</v>
      </c>
      <c r="F166" s="238">
        <f>G166+(E166-0.75)/(1-0.75)*(I166-G166)</f>
        <v>0.84612687253205898</v>
      </c>
      <c r="G166" s="434">
        <v>0.84499999999999997</v>
      </c>
      <c r="H166" s="434"/>
      <c r="I166" s="434">
        <v>0.84</v>
      </c>
      <c r="J166" s="434"/>
      <c r="K166" s="430">
        <f>IF(E66&gt;10,0.02,IF(E66&gt;5,0.01,0))</f>
        <v>0</v>
      </c>
      <c r="L166" s="430"/>
      <c r="M166" s="430">
        <f>IF(L66&gt;2,0.025,IF(L66&gt;1,0.02,IF(L66&gt;0,0.01,0)))</f>
        <v>0</v>
      </c>
      <c r="N166" s="430"/>
      <c r="O166" s="430"/>
      <c r="P166" s="431">
        <f>M159*(0.07-1.334*M159)-0.0009</f>
        <v>-6.443305232063974E-4</v>
      </c>
      <c r="Q166" s="431"/>
      <c r="R166" s="432">
        <f>1-G159*(0.0113+0.0073*G159)</f>
        <v>0.99994268457963398</v>
      </c>
      <c r="S166" s="433"/>
      <c r="T166" s="98"/>
      <c r="U166" s="15"/>
    </row>
    <row r="167" spans="1:26" ht="3.95" customHeight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4"/>
    </row>
    <row r="168" spans="1:26" ht="6.75" customHeight="1"/>
    <row r="169" spans="1:26" ht="14.1" customHeight="1">
      <c r="A169" s="343" t="s">
        <v>182</v>
      </c>
      <c r="B169" s="344"/>
      <c r="C169" s="344"/>
      <c r="D169" s="344"/>
      <c r="E169" s="344"/>
      <c r="F169" s="344"/>
      <c r="G169" s="344"/>
      <c r="H169" s="344"/>
      <c r="I169" s="344"/>
      <c r="J169" s="344"/>
      <c r="K169" s="344"/>
      <c r="L169" s="344"/>
      <c r="M169" s="344"/>
      <c r="N169" s="344"/>
      <c r="O169" s="344"/>
      <c r="P169" s="344"/>
      <c r="Q169" s="344"/>
      <c r="R169" s="344"/>
      <c r="S169" s="344"/>
      <c r="T169" s="344"/>
      <c r="U169" s="345"/>
    </row>
    <row r="170" spans="1:26" ht="14.1" customHeight="1">
      <c r="A170" s="34"/>
      <c r="B170" s="309" t="s">
        <v>327</v>
      </c>
      <c r="C170" s="309"/>
      <c r="D170" s="309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53"/>
    </row>
    <row r="171" spans="1:26" ht="14.1" customHeight="1">
      <c r="A171" s="34"/>
      <c r="B171" s="1"/>
      <c r="C171" s="1" t="s">
        <v>183</v>
      </c>
      <c r="D171" s="73"/>
      <c r="E171" s="73"/>
      <c r="F171" s="313">
        <f>R184</f>
        <v>6.4937701516114679E-2</v>
      </c>
      <c r="G171" s="313"/>
      <c r="H171" s="313"/>
      <c r="I171" s="275" t="s">
        <v>11</v>
      </c>
      <c r="K171" s="264" t="s">
        <v>191</v>
      </c>
      <c r="L171" s="264"/>
      <c r="M171" s="264"/>
      <c r="N171" s="264"/>
      <c r="O171" s="264"/>
      <c r="P171" s="264"/>
      <c r="Q171" s="276"/>
      <c r="R171" s="313">
        <f>R185</f>
        <v>5.519610026564125E-2</v>
      </c>
      <c r="S171" s="313"/>
      <c r="T171" s="99" t="s">
        <v>11</v>
      </c>
      <c r="U171" s="53"/>
    </row>
    <row r="172" spans="1:26" ht="15" customHeight="1">
      <c r="A172" s="34"/>
      <c r="B172" s="1"/>
      <c r="C172" s="1" t="s">
        <v>184</v>
      </c>
      <c r="D172" s="73"/>
      <c r="E172" s="73"/>
      <c r="F172" s="466">
        <v>1000</v>
      </c>
      <c r="G172" s="466"/>
      <c r="H172" s="466"/>
      <c r="I172" s="244" t="s">
        <v>294</v>
      </c>
      <c r="K172" s="311" t="s">
        <v>328</v>
      </c>
      <c r="L172" s="310"/>
      <c r="M172" s="310"/>
      <c r="N172" s="310"/>
      <c r="O172" s="310"/>
      <c r="P172" s="310"/>
      <c r="Q172" s="310"/>
      <c r="R172" s="314">
        <f>F185</f>
        <v>1.171377641965877</v>
      </c>
      <c r="S172" s="314"/>
      <c r="T172" s="74" t="s">
        <v>21</v>
      </c>
      <c r="U172" s="53"/>
      <c r="Z172" s="233"/>
    </row>
    <row r="173" spans="1:26" ht="14.1" customHeight="1">
      <c r="A173" s="34"/>
      <c r="B173" s="1"/>
      <c r="C173" s="1" t="s">
        <v>185</v>
      </c>
      <c r="D173" s="1"/>
      <c r="E173" s="1"/>
      <c r="F173" s="314">
        <f>F171+R171+H89+L114*10.3+R90</f>
        <v>143.19713380178175</v>
      </c>
      <c r="G173" s="314"/>
      <c r="H173" s="314"/>
      <c r="I173" s="78" t="s">
        <v>36</v>
      </c>
      <c r="J173" s="1"/>
      <c r="K173" s="310" t="s">
        <v>192</v>
      </c>
      <c r="L173" s="310"/>
      <c r="M173" s="310"/>
      <c r="N173" s="310"/>
      <c r="O173" s="310"/>
      <c r="P173" s="310"/>
      <c r="Q173" s="310"/>
      <c r="R173" s="298">
        <f>IFERROR((F173-H78)/H78,"N/D")</f>
        <v>-4.7511415446443113E-2</v>
      </c>
      <c r="S173" s="298"/>
      <c r="T173" s="277"/>
      <c r="U173" s="53"/>
      <c r="W173" s="229"/>
    </row>
    <row r="174" spans="1:26" ht="14.1" customHeight="1">
      <c r="A174" s="34"/>
      <c r="B174" s="310" t="s">
        <v>186</v>
      </c>
      <c r="C174" s="310"/>
      <c r="D174" s="7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53"/>
    </row>
    <row r="175" spans="1:26" ht="14.1" customHeight="1">
      <c r="A175" s="34"/>
      <c r="B175" s="1"/>
      <c r="C175" s="1" t="s">
        <v>187</v>
      </c>
      <c r="D175" s="73"/>
      <c r="F175" s="308">
        <f>P114/1000</f>
        <v>9.1999999999999998E-3</v>
      </c>
      <c r="G175" s="308"/>
      <c r="H175" s="308"/>
      <c r="I175" s="93" t="s">
        <v>293</v>
      </c>
      <c r="J175" s="1"/>
      <c r="K175" s="264" t="s">
        <v>192</v>
      </c>
      <c r="L175" s="264"/>
      <c r="M175" s="264"/>
      <c r="N175" s="264"/>
      <c r="O175" s="264"/>
      <c r="P175" s="264"/>
      <c r="Q175" s="264"/>
      <c r="R175" s="307">
        <f>IFERROR(((F175*1000)-O78)/O78,"N/D")</f>
        <v>-8.0000000000000071E-2</v>
      </c>
      <c r="S175" s="307"/>
      <c r="T175" s="278"/>
      <c r="U175" s="53"/>
    </row>
    <row r="176" spans="1:26" ht="14.1" customHeight="1">
      <c r="A176" s="34"/>
      <c r="B176" s="311" t="s">
        <v>329</v>
      </c>
      <c r="C176" s="310"/>
      <c r="D176" s="310"/>
      <c r="E176" s="31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53"/>
    </row>
    <row r="177" spans="1:26" ht="14.1" customHeight="1">
      <c r="A177" s="34"/>
      <c r="B177" s="1"/>
      <c r="C177" s="1" t="s">
        <v>188</v>
      </c>
      <c r="D177" s="1"/>
      <c r="F177" s="281">
        <f>IFERROR((O78/1000)*H78*9.81*F172/1000,"N/D")</f>
        <v>14.748354000000001</v>
      </c>
      <c r="G177" s="125" t="s">
        <v>4</v>
      </c>
      <c r="H177" s="100"/>
      <c r="I177" s="73"/>
      <c r="J177" s="73"/>
      <c r="K177" s="73"/>
      <c r="L177" s="106" t="s">
        <v>193</v>
      </c>
      <c r="M177" s="239">
        <f>F175*F173*F172*9.81/1000</f>
        <v>12.923827719878405</v>
      </c>
      <c r="N177" s="111" t="s">
        <v>4</v>
      </c>
      <c r="O177" s="1"/>
      <c r="P177" s="157" t="s">
        <v>330</v>
      </c>
      <c r="Q177" s="5"/>
      <c r="R177" s="316">
        <f>IFERROR((M177-F177)/F177,"N/D")</f>
        <v>-0.12371050221072777</v>
      </c>
      <c r="S177" s="316"/>
      <c r="T177" s="3"/>
      <c r="U177" s="53"/>
    </row>
    <row r="178" spans="1:26" ht="14.1" customHeight="1">
      <c r="A178" s="34"/>
      <c r="B178" s="1" t="s">
        <v>189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53"/>
    </row>
    <row r="179" spans="1:26" ht="14.1" customHeight="1">
      <c r="A179" s="34"/>
      <c r="B179" s="1"/>
      <c r="C179" s="1" t="s">
        <v>190</v>
      </c>
      <c r="D179" s="1"/>
      <c r="E179" s="1"/>
      <c r="F179" s="307">
        <f>M177/E161</f>
        <v>0.52784960848411955</v>
      </c>
      <c r="G179" s="307"/>
      <c r="H179" s="307"/>
      <c r="I179" s="279"/>
      <c r="K179" s="310" t="s">
        <v>194</v>
      </c>
      <c r="L179" s="310"/>
      <c r="M179" s="310"/>
      <c r="N179" s="310"/>
      <c r="O179" s="310"/>
      <c r="P179" s="310"/>
      <c r="Q179" s="1"/>
      <c r="R179" s="315">
        <f>F179/S162</f>
        <v>0.62435335788980539</v>
      </c>
      <c r="S179" s="315"/>
      <c r="T179" s="280"/>
      <c r="U179" s="53"/>
    </row>
    <row r="180" spans="1:26" ht="9.75" customHeight="1">
      <c r="A180" s="34"/>
      <c r="B180" s="1"/>
      <c r="C180" s="1"/>
      <c r="D180" s="1"/>
      <c r="E180" s="1"/>
      <c r="F180" s="1"/>
      <c r="G180" s="126"/>
      <c r="H180" s="118"/>
      <c r="I180" s="118"/>
      <c r="J180" s="118"/>
      <c r="K180" s="1"/>
      <c r="L180" s="1"/>
      <c r="M180" s="1"/>
      <c r="N180" s="1"/>
      <c r="O180" s="1"/>
      <c r="P180" s="1"/>
      <c r="Q180" s="1"/>
      <c r="R180" s="127"/>
      <c r="S180" s="127"/>
      <c r="T180" s="101"/>
      <c r="U180" s="53"/>
    </row>
    <row r="181" spans="1:26" ht="14.1" customHeight="1">
      <c r="A181" s="34"/>
      <c r="B181" s="363" t="s">
        <v>255</v>
      </c>
      <c r="C181" s="363"/>
      <c r="D181" s="363"/>
      <c r="E181" s="363"/>
      <c r="F181" s="363"/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63"/>
      <c r="R181" s="363"/>
      <c r="S181" s="408"/>
      <c r="T181" s="102"/>
      <c r="U181" s="53"/>
    </row>
    <row r="182" spans="1:26" ht="14.1" customHeight="1">
      <c r="A182" s="34"/>
      <c r="B182" s="461"/>
      <c r="C182" s="462"/>
      <c r="D182" s="107" t="s">
        <v>47</v>
      </c>
      <c r="E182" s="107" t="s">
        <v>8</v>
      </c>
      <c r="F182" s="107" t="s">
        <v>48</v>
      </c>
      <c r="G182" s="465" t="s">
        <v>49</v>
      </c>
      <c r="H182" s="465"/>
      <c r="I182" s="465" t="s">
        <v>34</v>
      </c>
      <c r="J182" s="465"/>
      <c r="K182" s="465" t="s">
        <v>331</v>
      </c>
      <c r="L182" s="465"/>
      <c r="M182" s="465" t="s">
        <v>332</v>
      </c>
      <c r="N182" s="465"/>
      <c r="O182" s="465"/>
      <c r="P182" s="465" t="s">
        <v>50</v>
      </c>
      <c r="Q182" s="465"/>
      <c r="R182" s="465" t="s">
        <v>51</v>
      </c>
      <c r="S182" s="467"/>
      <c r="T182" s="102"/>
      <c r="U182" s="53"/>
    </row>
    <row r="183" spans="1:26" ht="16.5" customHeight="1">
      <c r="A183" s="34"/>
      <c r="B183" s="463"/>
      <c r="C183" s="464"/>
      <c r="D183" s="107" t="s">
        <v>290</v>
      </c>
      <c r="E183" s="107" t="s">
        <v>291</v>
      </c>
      <c r="F183" s="107" t="s">
        <v>21</v>
      </c>
      <c r="G183" s="465" t="s">
        <v>292</v>
      </c>
      <c r="H183" s="465"/>
      <c r="I183" s="364"/>
      <c r="J183" s="364"/>
      <c r="K183" s="465" t="s">
        <v>35</v>
      </c>
      <c r="L183" s="465"/>
      <c r="M183" s="474"/>
      <c r="N183" s="475"/>
      <c r="O183" s="476"/>
      <c r="P183" s="481"/>
      <c r="Q183" s="481"/>
      <c r="R183" s="363" t="s">
        <v>36</v>
      </c>
      <c r="S183" s="408"/>
      <c r="T183" s="102"/>
      <c r="U183" s="53"/>
      <c r="X183" s="234"/>
    </row>
    <row r="184" spans="1:26" ht="14.1" customHeight="1">
      <c r="A184" s="34"/>
      <c r="B184" s="478" t="s">
        <v>141</v>
      </c>
      <c r="C184" s="478"/>
      <c r="D184" s="240">
        <f>P113/1000</f>
        <v>9.1999999999999998E-3</v>
      </c>
      <c r="E184" s="249">
        <f>3.1416*POWER(F113,2)/4</f>
        <v>3.1416000000000006E-2</v>
      </c>
      <c r="F184" s="248">
        <f>D184/E184</f>
        <v>0.29284441049146925</v>
      </c>
      <c r="G184" s="468">
        <f>0.0000000004436712*J83^2-0.0000000432360819*J83+0.0000016939532563</f>
        <v>9.5749631530000003E-7</v>
      </c>
      <c r="H184" s="468"/>
      <c r="I184" s="469">
        <f>F184*(F113)/G184</f>
        <v>61168.780665169681</v>
      </c>
      <c r="J184" s="469"/>
      <c r="K184" s="369">
        <v>4.5999999999999999E-2</v>
      </c>
      <c r="L184" s="369"/>
      <c r="M184" s="471">
        <f>(K184/1000)/(F113)</f>
        <v>2.2999999999999998E-4</v>
      </c>
      <c r="N184" s="472"/>
      <c r="O184" s="473"/>
      <c r="P184" s="470">
        <f>0.25/(LOG(((M184/3.7)+5.74/(I184^0.9))))^2</f>
        <v>2.0851493586478802E-2</v>
      </c>
      <c r="Q184" s="470"/>
      <c r="R184" s="477">
        <f>P184*((R89)/(F113))*(F184*F184/19.62)</f>
        <v>6.4937701516114679E-2</v>
      </c>
      <c r="S184" s="477"/>
      <c r="T184" s="102"/>
      <c r="U184" s="53"/>
      <c r="W184" s="229"/>
      <c r="X184" s="232"/>
      <c r="Z184" s="232"/>
    </row>
    <row r="185" spans="1:26" ht="14.1" customHeight="1">
      <c r="A185" s="34"/>
      <c r="B185" s="478" t="s">
        <v>143</v>
      </c>
      <c r="C185" s="478"/>
      <c r="D185" s="240">
        <f>P114/1000</f>
        <v>9.1999999999999998E-3</v>
      </c>
      <c r="E185" s="249">
        <f>3.1416*POWER(F114,2)/4</f>
        <v>7.8540000000000016E-3</v>
      </c>
      <c r="F185" s="248">
        <f>D185/E185</f>
        <v>1.171377641965877</v>
      </c>
      <c r="G185" s="468">
        <f>0.0000000004436712*J83^2-0.0000000432360819*J83+0.0000016939532563</f>
        <v>9.5749631530000003E-7</v>
      </c>
      <c r="H185" s="468"/>
      <c r="I185" s="469">
        <f>F185*(F114)/G185</f>
        <v>122337.56133033936</v>
      </c>
      <c r="J185" s="469"/>
      <c r="K185" s="369">
        <v>4.5999999999999999E-2</v>
      </c>
      <c r="L185" s="369"/>
      <c r="M185" s="471">
        <f>(K185/1000)/(F114)</f>
        <v>4.5999999999999996E-4</v>
      </c>
      <c r="N185" s="472"/>
      <c r="O185" s="473"/>
      <c r="P185" s="470">
        <f>0.25/(LOG(((M185/3.7)+5.74/(I185^0.9))))^2</f>
        <v>1.9731202138489747E-2</v>
      </c>
      <c r="Q185" s="470"/>
      <c r="R185" s="477">
        <f>P185*((H90)/(F114))*(F185*F185/19.62)</f>
        <v>5.519610026564125E-2</v>
      </c>
      <c r="S185" s="477"/>
      <c r="T185" s="102"/>
      <c r="U185" s="53"/>
      <c r="W185" s="229"/>
      <c r="X185" s="232"/>
    </row>
    <row r="186" spans="1:26" ht="3.95" customHeight="1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13"/>
      <c r="Q186" s="13"/>
      <c r="R186" s="3"/>
      <c r="S186" s="3"/>
      <c r="T186" s="3"/>
      <c r="U186" s="4"/>
      <c r="X186" s="232"/>
    </row>
    <row r="187" spans="1:26" ht="9" customHeight="1">
      <c r="X187" s="232"/>
    </row>
    <row r="188" spans="1:26" ht="15" customHeight="1">
      <c r="A188" s="343" t="s">
        <v>195</v>
      </c>
      <c r="B188" s="344"/>
      <c r="C188" s="344"/>
      <c r="D188" s="344"/>
      <c r="E188" s="344"/>
      <c r="F188" s="344"/>
      <c r="G188" s="344"/>
      <c r="H188" s="344"/>
      <c r="I188" s="344"/>
      <c r="J188" s="344"/>
      <c r="K188" s="344"/>
      <c r="L188" s="344"/>
      <c r="M188" s="344"/>
      <c r="N188" s="344"/>
      <c r="O188" s="344"/>
      <c r="P188" s="344"/>
      <c r="Q188" s="344"/>
      <c r="R188" s="344"/>
      <c r="S188" s="344"/>
      <c r="T188" s="344"/>
      <c r="U188" s="345"/>
      <c r="V188" s="103"/>
      <c r="W188" s="235" t="s">
        <v>256</v>
      </c>
    </row>
    <row r="189" spans="1:26" ht="6.75" customHeight="1">
      <c r="A189" s="3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53"/>
    </row>
    <row r="190" spans="1:26" ht="15" customHeight="1">
      <c r="A190" s="34"/>
      <c r="B190" s="479" t="s">
        <v>220</v>
      </c>
      <c r="C190" s="479"/>
      <c r="D190" s="479"/>
      <c r="E190" s="480" t="s">
        <v>221</v>
      </c>
      <c r="F190" s="480"/>
      <c r="G190" s="480" t="s">
        <v>222</v>
      </c>
      <c r="H190" s="480"/>
      <c r="I190" s="48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53"/>
      <c r="W190" s="235" t="s">
        <v>257</v>
      </c>
    </row>
    <row r="191" spans="1:26" ht="15" customHeight="1">
      <c r="A191" s="34"/>
      <c r="B191" s="487" t="s">
        <v>207</v>
      </c>
      <c r="C191" s="487"/>
      <c r="D191" s="487"/>
      <c r="E191" s="363" t="s">
        <v>37</v>
      </c>
      <c r="F191" s="364"/>
      <c r="G191" s="485">
        <f>(SUM(I125,M125,S125)+R152)*R66</f>
        <v>215025.29382297603</v>
      </c>
      <c r="H191" s="485"/>
      <c r="I191" s="48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53"/>
    </row>
    <row r="192" spans="1:26" ht="15" customHeight="1">
      <c r="A192" s="34"/>
      <c r="B192" s="487" t="s">
        <v>206</v>
      </c>
      <c r="C192" s="487"/>
      <c r="D192" s="487"/>
      <c r="E192" s="363" t="s">
        <v>52</v>
      </c>
      <c r="F192" s="364"/>
      <c r="G192" s="432">
        <f>S162</f>
        <v>0.8454340828215452</v>
      </c>
      <c r="H192" s="432"/>
      <c r="I192" s="43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53"/>
    </row>
    <row r="193" spans="1:24" ht="15" customHeight="1">
      <c r="A193" s="34"/>
      <c r="B193" s="487" t="s">
        <v>205</v>
      </c>
      <c r="C193" s="487"/>
      <c r="D193" s="487"/>
      <c r="E193" s="363" t="s">
        <v>52</v>
      </c>
      <c r="F193" s="364"/>
      <c r="G193" s="432">
        <f>R179</f>
        <v>0.62435335788980539</v>
      </c>
      <c r="H193" s="432"/>
      <c r="I193" s="43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53"/>
    </row>
    <row r="194" spans="1:24" ht="15" customHeight="1">
      <c r="A194" s="34"/>
      <c r="B194" s="487" t="s">
        <v>204</v>
      </c>
      <c r="C194" s="487"/>
      <c r="D194" s="487"/>
      <c r="E194" s="363" t="s">
        <v>52</v>
      </c>
      <c r="F194" s="363"/>
      <c r="G194" s="495">
        <v>0.4</v>
      </c>
      <c r="H194" s="495"/>
      <c r="I194" s="49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53"/>
    </row>
    <row r="195" spans="1:24" ht="15" customHeight="1">
      <c r="A195" s="34"/>
      <c r="B195" s="487" t="s">
        <v>203</v>
      </c>
      <c r="C195" s="487"/>
      <c r="D195" s="487"/>
      <c r="E195" s="363" t="s">
        <v>36</v>
      </c>
      <c r="F195" s="363"/>
      <c r="G195" s="485">
        <f>((R116-H116)+H89+R90)</f>
        <v>138</v>
      </c>
      <c r="H195" s="485"/>
      <c r="I195" s="48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53"/>
    </row>
    <row r="196" spans="1:24" ht="15" customHeight="1">
      <c r="A196" s="34"/>
      <c r="B196" s="487" t="s">
        <v>202</v>
      </c>
      <c r="C196" s="487"/>
      <c r="D196" s="487"/>
      <c r="E196" s="363" t="s">
        <v>37</v>
      </c>
      <c r="F196" s="364"/>
      <c r="G196" s="502">
        <f>S152+S153</f>
        <v>1133.7664898560004</v>
      </c>
      <c r="H196" s="502"/>
      <c r="I196" s="50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53"/>
    </row>
    <row r="197" spans="1:24" ht="15" customHeight="1">
      <c r="A197" s="34"/>
      <c r="B197" s="487" t="s">
        <v>197</v>
      </c>
      <c r="C197" s="487"/>
      <c r="D197" s="487"/>
      <c r="E197" s="363" t="s">
        <v>37</v>
      </c>
      <c r="F197" s="364"/>
      <c r="G197" s="485">
        <f>(1-S162)*E161*R66</f>
        <v>33060.340098944231</v>
      </c>
      <c r="H197" s="422"/>
      <c r="I197" s="42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53"/>
    </row>
    <row r="198" spans="1:24" ht="15" customHeight="1">
      <c r="A198" s="34"/>
      <c r="B198" s="487" t="s">
        <v>198</v>
      </c>
      <c r="C198" s="487"/>
      <c r="D198" s="487"/>
      <c r="E198" s="363" t="s">
        <v>37</v>
      </c>
      <c r="F198" s="364"/>
      <c r="G198" s="485">
        <f>(1-R179)*(G191-G196-G197)</f>
        <v>67928.628273318027</v>
      </c>
      <c r="H198" s="422"/>
      <c r="I198" s="42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53"/>
    </row>
    <row r="199" spans="1:24" ht="27" customHeight="1">
      <c r="A199" s="34"/>
      <c r="B199" s="496" t="s">
        <v>210</v>
      </c>
      <c r="C199" s="497"/>
      <c r="D199" s="498"/>
      <c r="E199" s="363" t="s">
        <v>37</v>
      </c>
      <c r="F199" s="364"/>
      <c r="G199" s="499">
        <f>(F171*F172*F175*9.81*R66/1000)+(R171*F172*F175*9.81*R66/1000)</f>
        <v>94.718471513763888</v>
      </c>
      <c r="H199" s="500"/>
      <c r="I199" s="50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53"/>
    </row>
    <row r="200" spans="1:24" ht="15" customHeight="1">
      <c r="A200" s="34"/>
      <c r="B200" s="487" t="s">
        <v>201</v>
      </c>
      <c r="C200" s="487"/>
      <c r="D200" s="487"/>
      <c r="E200" s="363" t="s">
        <v>37</v>
      </c>
      <c r="F200" s="364"/>
      <c r="G200" s="499">
        <f>(F173-G195)*F175*F172*9.81*R66/1000</f>
        <v>4097.6358248577562</v>
      </c>
      <c r="H200" s="500"/>
      <c r="I200" s="50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53"/>
      <c r="X200" s="129"/>
    </row>
    <row r="201" spans="1:24" ht="15" customHeight="1">
      <c r="A201" s="34"/>
      <c r="B201" s="487" t="s">
        <v>200</v>
      </c>
      <c r="C201" s="487"/>
      <c r="D201" s="487"/>
      <c r="E201" s="363" t="s">
        <v>37</v>
      </c>
      <c r="F201" s="364"/>
      <c r="G201" s="485">
        <f>(G191-SUM(G196:I200))*G194</f>
        <v>43484.081865794498</v>
      </c>
      <c r="H201" s="422"/>
      <c r="I201" s="42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53"/>
    </row>
    <row r="202" spans="1:24" ht="15" customHeight="1">
      <c r="A202" s="34"/>
      <c r="B202" s="487" t="s">
        <v>333</v>
      </c>
      <c r="C202" s="487"/>
      <c r="D202" s="487"/>
      <c r="E202" s="363" t="s">
        <v>37</v>
      </c>
      <c r="F202" s="364"/>
      <c r="G202" s="485">
        <f>G191-SUM(G196:I201)</f>
        <v>65226.122798691737</v>
      </c>
      <c r="H202" s="422"/>
      <c r="I202" s="42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53"/>
    </row>
    <row r="203" spans="1:24" ht="6.75" customHeight="1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4"/>
    </row>
    <row r="204" spans="1:24" ht="9" customHeight="1"/>
    <row r="205" spans="1:24" ht="15" customHeight="1">
      <c r="A205" s="503" t="s">
        <v>214</v>
      </c>
      <c r="B205" s="504"/>
      <c r="C205" s="504"/>
      <c r="D205" s="504"/>
      <c r="E205" s="504"/>
      <c r="F205" s="504"/>
      <c r="G205" s="504"/>
      <c r="H205" s="504"/>
      <c r="I205" s="504"/>
      <c r="J205" s="504"/>
      <c r="K205" s="504"/>
      <c r="L205" s="504"/>
      <c r="M205" s="504"/>
      <c r="N205" s="504"/>
      <c r="O205" s="504"/>
      <c r="P205" s="504"/>
      <c r="Q205" s="504"/>
      <c r="R205" s="504"/>
      <c r="S205" s="504"/>
      <c r="T205" s="504"/>
      <c r="U205" s="505"/>
    </row>
    <row r="206" spans="1:24" ht="9" customHeight="1">
      <c r="A206" s="217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53"/>
    </row>
    <row r="207" spans="1:24">
      <c r="A207" s="217"/>
      <c r="B207" s="218" t="s">
        <v>54</v>
      </c>
      <c r="C207" s="491" t="s">
        <v>223</v>
      </c>
      <c r="D207" s="491"/>
      <c r="E207" s="491"/>
      <c r="F207" s="491"/>
      <c r="G207" s="491"/>
      <c r="H207" s="491"/>
      <c r="I207" s="491"/>
      <c r="J207" s="491"/>
      <c r="K207" s="491"/>
      <c r="L207" s="491"/>
      <c r="M207" s="491"/>
      <c r="N207" s="491"/>
      <c r="O207" s="491"/>
      <c r="P207" s="491"/>
      <c r="Q207" s="491"/>
      <c r="R207" s="491"/>
      <c r="S207" s="491"/>
      <c r="T207" s="491"/>
      <c r="U207" s="53"/>
    </row>
    <row r="208" spans="1:24" ht="28.5" customHeight="1">
      <c r="A208" s="217"/>
      <c r="B208" s="218" t="s">
        <v>55</v>
      </c>
      <c r="C208" s="312" t="s">
        <v>253</v>
      </c>
      <c r="D208" s="312"/>
      <c r="E208" s="312"/>
      <c r="F208" s="312"/>
      <c r="G208" s="312"/>
      <c r="H208" s="312"/>
      <c r="I208" s="312"/>
      <c r="J208" s="312"/>
      <c r="K208" s="312"/>
      <c r="L208" s="312"/>
      <c r="M208" s="312"/>
      <c r="N208" s="312"/>
      <c r="O208" s="312"/>
      <c r="P208" s="312"/>
      <c r="Q208" s="312"/>
      <c r="R208" s="312"/>
      <c r="S208" s="312"/>
      <c r="T208" s="312"/>
      <c r="U208" s="53"/>
    </row>
    <row r="209" spans="1:26">
      <c r="A209" s="217"/>
      <c r="B209" s="218" t="s">
        <v>56</v>
      </c>
      <c r="C209" s="312" t="s">
        <v>224</v>
      </c>
      <c r="D209" s="312"/>
      <c r="E209" s="312"/>
      <c r="F209" s="312"/>
      <c r="G209" s="312"/>
      <c r="H209" s="312"/>
      <c r="I209" s="312"/>
      <c r="J209" s="312"/>
      <c r="K209" s="312"/>
      <c r="L209" s="312"/>
      <c r="M209" s="312"/>
      <c r="N209" s="312"/>
      <c r="O209" s="312"/>
      <c r="P209" s="312"/>
      <c r="Q209" s="312"/>
      <c r="R209" s="312"/>
      <c r="S209" s="312"/>
      <c r="T209" s="312"/>
      <c r="U209" s="53"/>
    </row>
    <row r="210" spans="1:26">
      <c r="A210" s="217"/>
      <c r="B210" s="218" t="s">
        <v>57</v>
      </c>
      <c r="C210" s="299" t="s">
        <v>225</v>
      </c>
      <c r="D210" s="299"/>
      <c r="E210" s="299"/>
      <c r="F210" s="299"/>
      <c r="G210" s="299"/>
      <c r="H210" s="299"/>
      <c r="I210" s="299"/>
      <c r="J210" s="299"/>
      <c r="K210" s="299"/>
      <c r="L210" s="299"/>
      <c r="M210" s="299"/>
      <c r="N210" s="299"/>
      <c r="O210" s="299"/>
      <c r="P210" s="299"/>
      <c r="Q210" s="299"/>
      <c r="R210" s="299"/>
      <c r="S210" s="299"/>
      <c r="T210" s="299"/>
      <c r="U210" s="53"/>
    </row>
    <row r="211" spans="1:26" ht="27" customHeight="1">
      <c r="A211" s="219"/>
      <c r="B211" s="220" t="s">
        <v>58</v>
      </c>
      <c r="C211" s="490" t="s">
        <v>226</v>
      </c>
      <c r="D211" s="490"/>
      <c r="E211" s="490"/>
      <c r="F211" s="490"/>
      <c r="G211" s="490"/>
      <c r="H211" s="490"/>
      <c r="I211" s="490"/>
      <c r="J211" s="490"/>
      <c r="K211" s="490"/>
      <c r="L211" s="490"/>
      <c r="M211" s="490"/>
      <c r="N211" s="490"/>
      <c r="O211" s="490"/>
      <c r="P211" s="490"/>
      <c r="Q211" s="490"/>
      <c r="R211" s="490"/>
      <c r="S211" s="490"/>
      <c r="T211" s="490"/>
      <c r="U211" s="4"/>
      <c r="Z211" s="156"/>
    </row>
    <row r="212" spans="1:26" ht="9" customHeight="1"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</row>
    <row r="213" spans="1:26">
      <c r="A213" s="503" t="s">
        <v>211</v>
      </c>
      <c r="B213" s="504"/>
      <c r="C213" s="504"/>
      <c r="D213" s="504"/>
      <c r="E213" s="504"/>
      <c r="F213" s="504"/>
      <c r="G213" s="504"/>
      <c r="H213" s="504"/>
      <c r="I213" s="504"/>
      <c r="J213" s="504"/>
      <c r="K213" s="504"/>
      <c r="L213" s="504"/>
      <c r="M213" s="504"/>
      <c r="N213" s="504"/>
      <c r="O213" s="504"/>
      <c r="P213" s="504"/>
      <c r="Q213" s="504"/>
      <c r="R213" s="504"/>
      <c r="S213" s="504"/>
      <c r="T213" s="504"/>
      <c r="U213" s="505"/>
    </row>
    <row r="214" spans="1:26" ht="7.5" customHeight="1">
      <c r="A214" s="34"/>
      <c r="B214" s="206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53"/>
    </row>
    <row r="215" spans="1:26">
      <c r="A215" s="34"/>
      <c r="B215" s="282" t="s">
        <v>334</v>
      </c>
      <c r="C215" s="312" t="s">
        <v>227</v>
      </c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  <c r="N215" s="312"/>
      <c r="O215" s="312"/>
      <c r="P215" s="312"/>
      <c r="Q215" s="312"/>
      <c r="R215" s="312"/>
      <c r="S215" s="312"/>
      <c r="T215" s="312"/>
      <c r="U215" s="131"/>
      <c r="V215" s="130"/>
      <c r="W215" s="130"/>
    </row>
    <row r="216" spans="1:26">
      <c r="A216" s="34"/>
      <c r="B216" s="283" t="s">
        <v>335</v>
      </c>
      <c r="C216" s="506" t="s">
        <v>228</v>
      </c>
      <c r="D216" s="506"/>
      <c r="E216" s="506"/>
      <c r="F216" s="506"/>
      <c r="G216" s="506"/>
      <c r="H216" s="506"/>
      <c r="I216" s="506"/>
      <c r="J216" s="506"/>
      <c r="K216" s="506"/>
      <c r="L216" s="506"/>
      <c r="M216" s="506"/>
      <c r="N216" s="506"/>
      <c r="O216" s="506"/>
      <c r="P216" s="506"/>
      <c r="Q216" s="506"/>
      <c r="R216" s="506"/>
      <c r="S216" s="506"/>
      <c r="T216" s="506"/>
      <c r="U216" s="53"/>
    </row>
    <row r="217" spans="1:26" ht="5.25" customHeight="1">
      <c r="A217" s="2"/>
      <c r="B217" s="197"/>
      <c r="C217" s="222"/>
      <c r="D217" s="222"/>
      <c r="E217" s="222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4"/>
    </row>
    <row r="218" spans="1:26" ht="9" customHeight="1">
      <c r="A218" s="1"/>
      <c r="B218" s="1"/>
      <c r="C218" s="139"/>
      <c r="D218" s="139"/>
      <c r="E218" s="139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"/>
    </row>
    <row r="219" spans="1:26" ht="14.25" customHeight="1">
      <c r="A219" s="403" t="s">
        <v>212</v>
      </c>
      <c r="B219" s="404"/>
      <c r="C219" s="404"/>
      <c r="D219" s="404"/>
      <c r="E219" s="404"/>
      <c r="F219" s="404"/>
      <c r="G219" s="404"/>
      <c r="H219" s="404"/>
      <c r="I219" s="404"/>
      <c r="J219" s="404"/>
      <c r="K219" s="404"/>
      <c r="L219" s="404"/>
      <c r="M219" s="404"/>
      <c r="N219" s="404"/>
      <c r="O219" s="404"/>
      <c r="P219" s="404"/>
      <c r="Q219" s="404"/>
      <c r="R219" s="404"/>
      <c r="S219" s="404"/>
      <c r="T219" s="404"/>
      <c r="U219" s="405"/>
    </row>
    <row r="220" spans="1:26" ht="9" customHeight="1">
      <c r="A220" s="3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53"/>
    </row>
    <row r="221" spans="1:26" ht="12.75" customHeight="1">
      <c r="A221" s="34"/>
      <c r="B221" s="1"/>
      <c r="C221" s="449" t="s">
        <v>277</v>
      </c>
      <c r="D221" s="449"/>
      <c r="E221" s="449"/>
      <c r="F221" s="144"/>
      <c r="G221" s="494" t="s">
        <v>108</v>
      </c>
      <c r="H221" s="494"/>
      <c r="I221" s="494"/>
      <c r="J221" s="177"/>
      <c r="K221" s="177"/>
      <c r="L221" s="177"/>
      <c r="M221" s="492" t="s">
        <v>65</v>
      </c>
      <c r="N221" s="492"/>
      <c r="O221" s="492"/>
      <c r="P221" s="492"/>
      <c r="T221" s="58"/>
      <c r="U221" s="53"/>
      <c r="W221" s="512" t="s">
        <v>2</v>
      </c>
    </row>
    <row r="222" spans="1:26" ht="12.75" customHeight="1">
      <c r="A222" s="34"/>
      <c r="B222" s="1"/>
      <c r="C222" s="142"/>
      <c r="D222" s="143"/>
      <c r="E222" s="143"/>
      <c r="F222" s="58"/>
      <c r="G222" s="494" t="s">
        <v>124</v>
      </c>
      <c r="H222" s="494"/>
      <c r="I222" s="494"/>
      <c r="J222" s="177"/>
      <c r="K222" s="177"/>
      <c r="L222" s="177"/>
      <c r="M222" s="492" t="s">
        <v>219</v>
      </c>
      <c r="N222" s="492"/>
      <c r="O222" s="492"/>
      <c r="P222" s="492"/>
      <c r="T222" s="58"/>
      <c r="U222" s="53"/>
      <c r="W222" s="512"/>
    </row>
    <row r="223" spans="1:26" ht="12.75" customHeight="1">
      <c r="A223" s="34"/>
      <c r="B223" s="1"/>
      <c r="C223" s="142"/>
      <c r="D223" s="143"/>
      <c r="E223" s="143"/>
      <c r="F223" s="58"/>
      <c r="G223" s="285" t="s">
        <v>336</v>
      </c>
      <c r="H223" s="285"/>
      <c r="I223" s="285"/>
      <c r="J223" s="286"/>
      <c r="K223" s="177"/>
      <c r="L223" s="177"/>
      <c r="M223" s="493">
        <v>0.78</v>
      </c>
      <c r="N223" s="493"/>
      <c r="O223" s="493"/>
      <c r="P223" s="493"/>
      <c r="T223" s="58"/>
      <c r="U223" s="53"/>
      <c r="W223" s="512"/>
    </row>
    <row r="224" spans="1:26">
      <c r="A224" s="34"/>
      <c r="B224" s="1"/>
      <c r="C224" s="142"/>
      <c r="D224" s="143"/>
      <c r="E224" s="143"/>
      <c r="F224" s="58"/>
      <c r="G224" s="285"/>
      <c r="H224" s="286"/>
      <c r="I224" s="286"/>
      <c r="J224" s="286"/>
      <c r="K224" s="286"/>
      <c r="L224" s="286"/>
      <c r="M224" s="159"/>
      <c r="N224" s="159"/>
      <c r="O224" s="58"/>
      <c r="P224" s="286"/>
      <c r="T224" s="58"/>
      <c r="U224" s="53"/>
      <c r="W224" s="512"/>
    </row>
    <row r="225" spans="1:23" ht="12.75" customHeight="1">
      <c r="A225" s="34"/>
      <c r="B225" s="1"/>
      <c r="C225" s="160" t="s">
        <v>278</v>
      </c>
      <c r="D225" s="143"/>
      <c r="E225" s="143"/>
      <c r="F225" s="58"/>
      <c r="G225" s="285" t="s">
        <v>339</v>
      </c>
      <c r="H225" s="285"/>
      <c r="I225" s="285"/>
      <c r="J225" s="286"/>
      <c r="K225" s="287"/>
      <c r="L225" s="287"/>
      <c r="M225" s="224">
        <v>25</v>
      </c>
      <c r="N225" s="145" t="s">
        <v>0</v>
      </c>
      <c r="O225" s="58"/>
      <c r="P225" s="287"/>
      <c r="T225" s="58"/>
      <c r="U225" s="53"/>
      <c r="W225" s="512"/>
    </row>
    <row r="226" spans="1:23" ht="12.75" customHeight="1">
      <c r="A226" s="34"/>
      <c r="B226" s="1"/>
      <c r="C226" s="142"/>
      <c r="D226" s="143"/>
      <c r="E226" s="143"/>
      <c r="F226" s="58"/>
      <c r="G226" s="285" t="s">
        <v>337</v>
      </c>
      <c r="H226" s="285"/>
      <c r="I226" s="285"/>
      <c r="J226" s="286"/>
      <c r="K226" s="289"/>
      <c r="L226" s="289"/>
      <c r="M226" s="225">
        <v>440</v>
      </c>
      <c r="N226" s="40" t="s">
        <v>1</v>
      </c>
      <c r="O226" s="145"/>
      <c r="P226" s="289"/>
      <c r="T226" s="145"/>
      <c r="U226" s="53"/>
      <c r="W226" s="512"/>
    </row>
    <row r="227" spans="1:23" ht="12.75" customHeight="1">
      <c r="A227" s="34"/>
      <c r="B227" s="1"/>
      <c r="C227" s="142"/>
      <c r="D227" s="143"/>
      <c r="E227" s="143"/>
      <c r="F227" s="58"/>
      <c r="G227" s="285" t="s">
        <v>340</v>
      </c>
      <c r="H227" s="285"/>
      <c r="I227" s="285"/>
      <c r="J227" s="286"/>
      <c r="K227" s="289"/>
      <c r="L227" s="289"/>
      <c r="M227" s="225">
        <v>90</v>
      </c>
      <c r="N227" s="40" t="s">
        <v>52</v>
      </c>
      <c r="O227" s="145"/>
      <c r="P227" s="289"/>
      <c r="T227" s="145"/>
      <c r="U227" s="53"/>
      <c r="W227" s="135"/>
    </row>
    <row r="228" spans="1:23" ht="12.75" customHeight="1">
      <c r="A228" s="34"/>
      <c r="B228" s="1"/>
      <c r="C228" s="142"/>
      <c r="D228" s="143"/>
      <c r="E228" s="143"/>
      <c r="F228" s="58"/>
      <c r="G228" s="285" t="s">
        <v>341</v>
      </c>
      <c r="H228" s="285"/>
      <c r="I228" s="285"/>
      <c r="J228" s="286"/>
      <c r="K228" s="289"/>
      <c r="L228" s="289"/>
      <c r="M228" s="225">
        <v>3</v>
      </c>
      <c r="N228" s="40"/>
      <c r="O228" s="145"/>
      <c r="P228" s="289"/>
      <c r="T228" s="145"/>
      <c r="U228" s="53"/>
      <c r="W228" s="135"/>
    </row>
    <row r="229" spans="1:23" ht="12.75" customHeight="1">
      <c r="A229" s="34"/>
      <c r="B229" s="1"/>
      <c r="C229" s="142"/>
      <c r="D229" s="143"/>
      <c r="E229" s="143"/>
      <c r="F229" s="58"/>
      <c r="G229" s="285" t="s">
        <v>342</v>
      </c>
      <c r="H229" s="285"/>
      <c r="I229" s="285"/>
      <c r="J229" s="286"/>
      <c r="K229" s="289"/>
      <c r="L229" s="289"/>
      <c r="M229" s="225">
        <v>3600</v>
      </c>
      <c r="N229" s="40" t="s">
        <v>70</v>
      </c>
      <c r="O229" s="145"/>
      <c r="P229" s="289"/>
      <c r="T229" s="145"/>
      <c r="U229" s="53"/>
      <c r="W229" s="135"/>
    </row>
    <row r="230" spans="1:23" ht="12.75" customHeight="1">
      <c r="A230" s="34"/>
      <c r="B230" s="1"/>
      <c r="C230" s="142"/>
      <c r="D230" s="143"/>
      <c r="E230" s="143"/>
      <c r="F230" s="58"/>
      <c r="G230" s="288"/>
      <c r="H230" s="289"/>
      <c r="I230" s="289"/>
      <c r="J230" s="289"/>
      <c r="K230" s="289"/>
      <c r="L230" s="289"/>
      <c r="N230" s="40"/>
      <c r="O230" s="145"/>
      <c r="P230" s="289"/>
      <c r="T230" s="145"/>
      <c r="U230" s="53"/>
      <c r="W230" s="135"/>
    </row>
    <row r="231" spans="1:23" ht="12.75" customHeight="1">
      <c r="A231" s="34"/>
      <c r="B231" s="1"/>
      <c r="C231" s="142"/>
      <c r="D231" s="143"/>
      <c r="E231" s="143"/>
      <c r="F231" s="58"/>
      <c r="G231" s="285" t="s">
        <v>338</v>
      </c>
      <c r="H231" s="285"/>
      <c r="I231" s="285"/>
      <c r="J231" s="286"/>
      <c r="K231" s="285"/>
      <c r="L231" s="177"/>
      <c r="M231" s="284">
        <f>M223*H254</f>
        <v>0.70215344259523949</v>
      </c>
      <c r="N231" s="284"/>
      <c r="O231" s="145"/>
      <c r="P231" s="177"/>
      <c r="T231" s="145"/>
      <c r="U231" s="53"/>
      <c r="W231" s="135"/>
    </row>
    <row r="232" spans="1:23" ht="12.75" customHeight="1">
      <c r="A232" s="34"/>
      <c r="B232" s="1"/>
      <c r="C232" s="142"/>
      <c r="D232" s="143"/>
      <c r="E232" s="143"/>
      <c r="F232" s="58"/>
      <c r="G232" s="288"/>
      <c r="H232" s="289"/>
      <c r="I232" s="289"/>
      <c r="J232" s="289"/>
      <c r="K232" s="289"/>
      <c r="L232" s="289"/>
      <c r="N232" s="40"/>
      <c r="O232" s="145"/>
      <c r="P232" s="289"/>
      <c r="T232" s="145"/>
      <c r="U232" s="53"/>
      <c r="W232" s="135"/>
    </row>
    <row r="233" spans="1:23" ht="12.75" customHeight="1">
      <c r="A233" s="34"/>
      <c r="B233" s="1"/>
      <c r="C233" s="160" t="s">
        <v>229</v>
      </c>
      <c r="D233" s="143"/>
      <c r="E233" s="143"/>
      <c r="F233" s="58"/>
      <c r="G233" s="285" t="s">
        <v>84</v>
      </c>
      <c r="H233" s="285"/>
      <c r="I233" s="285"/>
      <c r="J233" s="286"/>
      <c r="K233" s="285"/>
      <c r="L233" s="290"/>
      <c r="M233" s="226">
        <f>G263*0.473</f>
        <v>8.7060322440466091</v>
      </c>
      <c r="N233" s="147" t="s">
        <v>295</v>
      </c>
      <c r="O233" s="148"/>
      <c r="P233" s="290"/>
      <c r="T233" s="148"/>
      <c r="U233" s="53"/>
    </row>
    <row r="234" spans="1:23" ht="14.25" customHeight="1">
      <c r="A234" s="34"/>
      <c r="B234" s="1"/>
      <c r="C234" s="160"/>
      <c r="D234" s="143"/>
      <c r="E234" s="143"/>
      <c r="F234" s="58"/>
      <c r="G234" s="285" t="s">
        <v>337</v>
      </c>
      <c r="H234" s="285"/>
      <c r="I234" s="285"/>
      <c r="J234" s="286"/>
      <c r="K234" s="285"/>
      <c r="L234" s="291"/>
      <c r="M234" s="226">
        <v>440</v>
      </c>
      <c r="N234" s="147" t="s">
        <v>1</v>
      </c>
      <c r="O234" s="148"/>
      <c r="P234" s="291"/>
      <c r="T234" s="148"/>
      <c r="U234" s="53"/>
    </row>
    <row r="235" spans="1:23" ht="9" customHeight="1">
      <c r="A235" s="2"/>
      <c r="B235" s="3"/>
      <c r="C235" s="149"/>
      <c r="D235" s="150"/>
      <c r="E235" s="150"/>
      <c r="F235" s="63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2"/>
      <c r="R235" s="153"/>
      <c r="S235" s="154"/>
      <c r="T235" s="154"/>
      <c r="U235" s="4"/>
    </row>
    <row r="236" spans="1:23">
      <c r="C236" s="44"/>
      <c r="D236" s="45"/>
      <c r="E236" s="45"/>
      <c r="F236" s="51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79"/>
      <c r="R236" s="80"/>
      <c r="S236" s="49"/>
      <c r="T236" s="49"/>
    </row>
    <row r="237" spans="1:23">
      <c r="A237" s="403" t="s">
        <v>213</v>
      </c>
      <c r="B237" s="404"/>
      <c r="C237" s="404"/>
      <c r="D237" s="404"/>
      <c r="E237" s="404"/>
      <c r="F237" s="404"/>
      <c r="G237" s="404"/>
      <c r="H237" s="404"/>
      <c r="I237" s="404"/>
      <c r="J237" s="404"/>
      <c r="K237" s="404"/>
      <c r="L237" s="404"/>
      <c r="M237" s="404"/>
      <c r="N237" s="404"/>
      <c r="O237" s="404"/>
      <c r="P237" s="404"/>
      <c r="Q237" s="404"/>
      <c r="R237" s="404"/>
      <c r="S237" s="404"/>
      <c r="T237" s="404"/>
      <c r="U237" s="405"/>
    </row>
    <row r="238" spans="1:23" ht="7.5" customHeight="1">
      <c r="A238" s="34"/>
      <c r="B238" s="1"/>
      <c r="C238" s="142"/>
      <c r="D238" s="143"/>
      <c r="E238" s="143"/>
      <c r="F238" s="58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46"/>
      <c r="R238" s="147"/>
      <c r="S238" s="148"/>
      <c r="T238" s="148"/>
      <c r="U238" s="53"/>
    </row>
    <row r="239" spans="1:23" ht="14.1" customHeight="1">
      <c r="A239" s="34"/>
      <c r="B239" s="1"/>
      <c r="C239" s="138" t="s">
        <v>231</v>
      </c>
      <c r="D239" s="141"/>
      <c r="E239" s="227" t="s">
        <v>59</v>
      </c>
      <c r="F239" s="486" t="s">
        <v>280</v>
      </c>
      <c r="G239" s="486"/>
      <c r="H239" s="486"/>
      <c r="I239" s="486"/>
      <c r="J239" s="486"/>
      <c r="K239" s="486"/>
      <c r="L239" s="486"/>
      <c r="M239" s="486"/>
      <c r="N239" s="486"/>
      <c r="O239" s="486"/>
      <c r="P239" s="486"/>
      <c r="Q239" s="486"/>
      <c r="R239" s="486"/>
      <c r="S239" s="486"/>
      <c r="T239" s="486"/>
      <c r="U239" s="53"/>
    </row>
    <row r="240" spans="1:23" ht="14.1" customHeight="1">
      <c r="A240" s="34"/>
      <c r="B240" s="1"/>
      <c r="C240" s="142"/>
      <c r="D240" s="143"/>
      <c r="E240" s="227" t="s">
        <v>60</v>
      </c>
      <c r="F240" s="486" t="s">
        <v>230</v>
      </c>
      <c r="G240" s="486"/>
      <c r="H240" s="486"/>
      <c r="I240" s="486"/>
      <c r="J240" s="486"/>
      <c r="K240" s="486"/>
      <c r="L240" s="486"/>
      <c r="M240" s="486"/>
      <c r="N240" s="486"/>
      <c r="O240" s="486"/>
      <c r="P240" s="486"/>
      <c r="Q240" s="486"/>
      <c r="R240" s="486"/>
      <c r="S240" s="486"/>
      <c r="T240" s="486"/>
      <c r="U240" s="53"/>
    </row>
    <row r="241" spans="1:22" ht="14.1" customHeight="1">
      <c r="A241" s="34"/>
      <c r="B241" s="1"/>
      <c r="C241" s="142"/>
      <c r="D241" s="143"/>
      <c r="E241" s="227" t="s">
        <v>63</v>
      </c>
      <c r="F241" s="486" t="s">
        <v>343</v>
      </c>
      <c r="G241" s="486"/>
      <c r="H241" s="486"/>
      <c r="I241" s="486"/>
      <c r="J241" s="486"/>
      <c r="K241" s="486"/>
      <c r="L241" s="486"/>
      <c r="M241" s="486"/>
      <c r="N241" s="486"/>
      <c r="O241" s="486"/>
      <c r="P241" s="486"/>
      <c r="Q241" s="486"/>
      <c r="R241" s="486"/>
      <c r="S241" s="486"/>
      <c r="T241" s="486"/>
      <c r="U241" s="53"/>
    </row>
    <row r="242" spans="1:22" ht="14.1" customHeight="1">
      <c r="A242" s="34"/>
      <c r="B242" s="1"/>
      <c r="C242" s="137"/>
      <c r="D242" s="1"/>
      <c r="E242" s="227" t="s">
        <v>67</v>
      </c>
      <c r="F242" s="486" t="s">
        <v>228</v>
      </c>
      <c r="G242" s="486"/>
      <c r="H242" s="486"/>
      <c r="I242" s="486"/>
      <c r="J242" s="486"/>
      <c r="K242" s="486"/>
      <c r="L242" s="486"/>
      <c r="M242" s="486"/>
      <c r="N242" s="486"/>
      <c r="O242" s="486"/>
      <c r="P242" s="486"/>
      <c r="Q242" s="486"/>
      <c r="R242" s="486"/>
      <c r="S242" s="486"/>
      <c r="T242" s="486"/>
      <c r="U242" s="53"/>
    </row>
    <row r="243" spans="1:22" ht="6" customHeight="1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4"/>
    </row>
    <row r="244" spans="1:22" ht="9.75" customHeight="1"/>
    <row r="245" spans="1:22" ht="12.95" customHeight="1">
      <c r="A245" s="403" t="s">
        <v>232</v>
      </c>
      <c r="B245" s="404"/>
      <c r="C245" s="404"/>
      <c r="D245" s="404"/>
      <c r="E245" s="404"/>
      <c r="F245" s="404"/>
      <c r="G245" s="404"/>
      <c r="H245" s="404"/>
      <c r="I245" s="404"/>
      <c r="J245" s="404"/>
      <c r="K245" s="404"/>
      <c r="L245" s="404"/>
      <c r="M245" s="404"/>
      <c r="N245" s="404"/>
      <c r="O245" s="404"/>
      <c r="P245" s="404"/>
      <c r="Q245" s="404"/>
      <c r="R245" s="404"/>
      <c r="S245" s="404"/>
      <c r="T245" s="404"/>
      <c r="U245" s="405"/>
    </row>
    <row r="246" spans="1:22" ht="12.95" customHeight="1">
      <c r="A246" s="34"/>
      <c r="B246" s="511" t="s">
        <v>165</v>
      </c>
      <c r="C246" s="511"/>
      <c r="D246" s="511"/>
      <c r="E246" s="511"/>
      <c r="F246" s="511"/>
      <c r="G246" s="513" t="s">
        <v>168</v>
      </c>
      <c r="H246" s="514" t="s">
        <v>318</v>
      </c>
      <c r="I246" s="515"/>
      <c r="J246" s="514" t="s">
        <v>169</v>
      </c>
      <c r="K246" s="514"/>
      <c r="L246" s="514"/>
      <c r="M246" s="514"/>
      <c r="N246" s="518" t="s">
        <v>170</v>
      </c>
      <c r="O246" s="518"/>
      <c r="P246" s="518"/>
      <c r="Q246" s="292" t="s">
        <v>317</v>
      </c>
      <c r="R246" s="518" t="s">
        <v>171</v>
      </c>
      <c r="S246" s="518"/>
      <c r="T246" s="518"/>
      <c r="U246" s="53"/>
    </row>
    <row r="247" spans="1:22" ht="12.95" customHeight="1">
      <c r="A247" s="34"/>
      <c r="B247" s="406"/>
      <c r="C247" s="406"/>
      <c r="D247" s="406"/>
      <c r="E247" s="406"/>
      <c r="F247" s="406"/>
      <c r="G247" s="391"/>
      <c r="H247" s="363" t="s">
        <v>11</v>
      </c>
      <c r="I247" s="363"/>
      <c r="J247" s="408" t="s">
        <v>32</v>
      </c>
      <c r="K247" s="409"/>
      <c r="L247" s="408" t="s">
        <v>22</v>
      </c>
      <c r="M247" s="409"/>
      <c r="N247" s="363" t="s">
        <v>8</v>
      </c>
      <c r="O247" s="363"/>
      <c r="P247" s="363"/>
      <c r="Q247" s="113" t="s">
        <v>172</v>
      </c>
      <c r="R247" s="107" t="s">
        <v>4</v>
      </c>
      <c r="S247" s="363" t="s">
        <v>37</v>
      </c>
      <c r="T247" s="363"/>
      <c r="U247" s="53"/>
    </row>
    <row r="248" spans="1:22" ht="12.95" customHeight="1">
      <c r="A248" s="34"/>
      <c r="B248" s="412" t="s">
        <v>164</v>
      </c>
      <c r="C248" s="413"/>
      <c r="D248" s="409" t="s">
        <v>166</v>
      </c>
      <c r="E248" s="416"/>
      <c r="F248" s="417"/>
      <c r="G248" s="216" t="s">
        <v>173</v>
      </c>
      <c r="H248" s="418">
        <f>S51</f>
        <v>18</v>
      </c>
      <c r="I248" s="419"/>
      <c r="J248" s="525">
        <v>0.16400000000000001</v>
      </c>
      <c r="K248" s="525"/>
      <c r="L248" s="422">
        <f>J248*H248/1000</f>
        <v>2.9519999999999998E-3</v>
      </c>
      <c r="M248" s="422"/>
      <c r="N248" s="519">
        <f>G263*1000/(1.732*E159*0.95)</f>
        <v>24.246919279609259</v>
      </c>
      <c r="O248" s="519"/>
      <c r="P248" s="519"/>
      <c r="Q248" s="245">
        <f>R66</f>
        <v>8736</v>
      </c>
      <c r="R248" s="243">
        <f>N248*N248*L248*3/1000</f>
        <v>5.206558365351513E-3</v>
      </c>
      <c r="S248" s="410">
        <f>Q248*R248</f>
        <v>45.484493879710818</v>
      </c>
      <c r="T248" s="410"/>
      <c r="U248" s="53"/>
    </row>
    <row r="249" spans="1:22" ht="12.95" customHeight="1">
      <c r="A249" s="34"/>
      <c r="B249" s="414"/>
      <c r="C249" s="415"/>
      <c r="D249" s="409" t="s">
        <v>167</v>
      </c>
      <c r="E249" s="416"/>
      <c r="F249" s="417"/>
      <c r="G249" s="216" t="s">
        <v>173</v>
      </c>
      <c r="H249" s="418">
        <f>S56</f>
        <v>152.5</v>
      </c>
      <c r="I249" s="419"/>
      <c r="J249" s="525">
        <v>0.16400000000000001</v>
      </c>
      <c r="K249" s="525"/>
      <c r="L249" s="422">
        <f>J249*H249/1000</f>
        <v>2.5010000000000001E-2</v>
      </c>
      <c r="M249" s="422"/>
      <c r="N249" s="519">
        <f>G264</f>
        <v>28.696947273531656</v>
      </c>
      <c r="O249" s="519"/>
      <c r="P249" s="519"/>
      <c r="Q249" s="245">
        <f>Q248</f>
        <v>8736</v>
      </c>
      <c r="R249" s="243">
        <f>N249*N249*L249*3/1000</f>
        <v>6.1788314154973788E-2</v>
      </c>
      <c r="S249" s="410">
        <f>Q249*R249</f>
        <v>539.78271245785106</v>
      </c>
      <c r="T249" s="410"/>
      <c r="U249" s="53"/>
    </row>
    <row r="250" spans="1:22" ht="6.75" customHeight="1">
      <c r="A250" s="161"/>
      <c r="B250" s="1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4"/>
      <c r="V250" s="1"/>
    </row>
    <row r="251" spans="1:22" ht="6.75" customHeight="1">
      <c r="A251" s="8"/>
      <c r="B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>
      <c r="A252" s="522" t="s">
        <v>233</v>
      </c>
      <c r="B252" s="523"/>
      <c r="C252" s="523"/>
      <c r="D252" s="523"/>
      <c r="E252" s="523"/>
      <c r="F252" s="523"/>
      <c r="G252" s="523"/>
      <c r="H252" s="523"/>
      <c r="I252" s="523"/>
      <c r="J252" s="523"/>
      <c r="K252" s="523"/>
      <c r="L252" s="523"/>
      <c r="M252" s="523"/>
      <c r="N252" s="523"/>
      <c r="O252" s="523"/>
      <c r="P252" s="523"/>
      <c r="Q252" s="523"/>
      <c r="R252" s="523"/>
      <c r="S252" s="523"/>
      <c r="T252" s="523"/>
      <c r="U252" s="524"/>
    </row>
    <row r="253" spans="1:22">
      <c r="A253" s="34"/>
      <c r="B253" s="56"/>
      <c r="C253" s="1"/>
      <c r="D253" s="113" t="s">
        <v>344</v>
      </c>
      <c r="E253" s="136" t="s">
        <v>62</v>
      </c>
      <c r="F253" s="391" t="s">
        <v>64</v>
      </c>
      <c r="G253" s="391"/>
      <c r="H253" s="391" t="s">
        <v>345</v>
      </c>
      <c r="I253" s="391"/>
      <c r="J253" s="391" t="s">
        <v>39</v>
      </c>
      <c r="K253" s="391"/>
      <c r="L253" s="391" t="s">
        <v>346</v>
      </c>
      <c r="M253" s="391"/>
      <c r="N253" s="391" t="s">
        <v>41</v>
      </c>
      <c r="O253" s="391"/>
      <c r="P253" s="391"/>
      <c r="Q253" s="391" t="s">
        <v>42</v>
      </c>
      <c r="R253" s="391"/>
      <c r="S253" s="1"/>
      <c r="T253" s="53"/>
      <c r="U253" s="53"/>
    </row>
    <row r="254" spans="1:22">
      <c r="A254" s="34"/>
      <c r="B254" s="56"/>
      <c r="C254" s="162"/>
      <c r="D254" s="241">
        <f>G263*1000/(1.732*E159*G264)</f>
        <v>0.80268375224965138</v>
      </c>
      <c r="E254" s="242">
        <f>(M177/M223/0.746)</f>
        <v>22.21046903120644</v>
      </c>
      <c r="F254" s="519">
        <f>M225</f>
        <v>25</v>
      </c>
      <c r="G254" s="519"/>
      <c r="H254" s="520">
        <f>S257*(L254+Q257)</f>
        <v>0.90019672127594808</v>
      </c>
      <c r="I254" s="520"/>
      <c r="J254" s="371">
        <f>(M177/M223)/(0.746*F254)</f>
        <v>0.88841876124825769</v>
      </c>
      <c r="K254" s="371"/>
      <c r="L254" s="430">
        <f>N254+(J254-0.75)/(1-0.75)*(Q254-N254)</f>
        <v>0.90089264991001394</v>
      </c>
      <c r="M254" s="430"/>
      <c r="N254" s="521">
        <v>0.90200000000000002</v>
      </c>
      <c r="O254" s="521"/>
      <c r="P254" s="521"/>
      <c r="Q254" s="521">
        <v>0.9</v>
      </c>
      <c r="R254" s="521"/>
      <c r="S254" s="1"/>
      <c r="T254" s="53"/>
      <c r="U254" s="53"/>
    </row>
    <row r="255" spans="1:22" ht="6" customHeight="1">
      <c r="A255" s="34"/>
      <c r="B255" s="1"/>
      <c r="C255" s="162"/>
      <c r="D255" s="57"/>
      <c r="E255" s="58"/>
      <c r="F255" s="58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60"/>
      <c r="R255" s="60"/>
      <c r="S255" s="52"/>
      <c r="T255" s="61"/>
      <c r="U255" s="53"/>
    </row>
    <row r="256" spans="1:22" ht="15" customHeight="1">
      <c r="A256" s="34"/>
      <c r="B256" s="1"/>
      <c r="C256" s="1"/>
      <c r="D256" s="57"/>
      <c r="E256" s="58"/>
      <c r="F256" s="58"/>
      <c r="G256" s="59"/>
      <c r="H256" s="59"/>
      <c r="I256" s="59"/>
      <c r="J256" s="59"/>
      <c r="K256" s="59"/>
      <c r="L256" s="391" t="s">
        <v>43</v>
      </c>
      <c r="M256" s="391"/>
      <c r="N256" s="391" t="s">
        <v>44</v>
      </c>
      <c r="O256" s="391"/>
      <c r="P256" s="391"/>
      <c r="Q256" s="391" t="s">
        <v>45</v>
      </c>
      <c r="R256" s="391"/>
      <c r="S256" s="391" t="s">
        <v>46</v>
      </c>
      <c r="T256" s="391"/>
      <c r="U256" s="53"/>
    </row>
    <row r="257" spans="1:21" ht="15" customHeight="1">
      <c r="A257" s="34"/>
      <c r="B257" s="1"/>
      <c r="C257" s="46"/>
      <c r="D257" s="62"/>
      <c r="E257" s="63"/>
      <c r="F257" s="63"/>
      <c r="G257" s="64"/>
      <c r="H257" s="64"/>
      <c r="I257" s="64"/>
      <c r="J257" s="64"/>
      <c r="K257" s="64"/>
      <c r="L257" s="526">
        <v>0</v>
      </c>
      <c r="M257" s="526"/>
      <c r="N257" s="526">
        <v>0</v>
      </c>
      <c r="O257" s="526"/>
      <c r="P257" s="526"/>
      <c r="Q257" s="527">
        <f>P166</f>
        <v>-6.443305232063974E-4</v>
      </c>
      <c r="R257" s="527"/>
      <c r="S257" s="432">
        <f>R166</f>
        <v>0.99994268457963398</v>
      </c>
      <c r="T257" s="431"/>
      <c r="U257" s="53"/>
    </row>
    <row r="258" spans="1:21" ht="6.75" customHeight="1">
      <c r="A258" s="2"/>
      <c r="B258" s="3"/>
      <c r="C258" s="163"/>
      <c r="D258" s="164"/>
      <c r="E258" s="63"/>
      <c r="F258" s="63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165"/>
      <c r="R258" s="165"/>
      <c r="S258" s="166"/>
      <c r="T258" s="167"/>
      <c r="U258" s="4"/>
    </row>
    <row r="259" spans="1:21" ht="12" customHeight="1">
      <c r="C259" s="46"/>
      <c r="D259" s="119"/>
      <c r="E259" s="51"/>
      <c r="F259" s="51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67"/>
      <c r="R259" s="67"/>
      <c r="S259" s="133"/>
      <c r="T259" s="120"/>
    </row>
    <row r="260" spans="1:21" ht="13.5" customHeight="1">
      <c r="A260" s="379" t="s">
        <v>234</v>
      </c>
      <c r="B260" s="380"/>
      <c r="C260" s="380"/>
      <c r="D260" s="380"/>
      <c r="E260" s="380"/>
      <c r="F260" s="380"/>
      <c r="G260" s="380"/>
      <c r="H260" s="380"/>
      <c r="I260" s="380"/>
      <c r="J260" s="380"/>
      <c r="K260" s="380"/>
      <c r="L260" s="380"/>
      <c r="M260" s="380"/>
      <c r="N260" s="380"/>
      <c r="O260" s="380"/>
      <c r="P260" s="380"/>
      <c r="Q260" s="380"/>
      <c r="R260" s="380"/>
      <c r="S260" s="380"/>
      <c r="T260" s="380"/>
      <c r="U260" s="381"/>
    </row>
    <row r="261" spans="1:21" ht="15" customHeight="1">
      <c r="A261" s="34"/>
      <c r="B261" s="534" t="s">
        <v>220</v>
      </c>
      <c r="C261" s="535"/>
      <c r="D261" s="536"/>
      <c r="E261" s="537" t="s">
        <v>235</v>
      </c>
      <c r="F261" s="538"/>
      <c r="G261" s="537" t="s">
        <v>222</v>
      </c>
      <c r="H261" s="539"/>
      <c r="I261" s="53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53"/>
    </row>
    <row r="262" spans="1:21" ht="15" customHeight="1">
      <c r="A262" s="34"/>
      <c r="B262" s="528" t="s">
        <v>218</v>
      </c>
      <c r="C262" s="529"/>
      <c r="D262" s="530"/>
      <c r="E262" s="408" t="s">
        <v>37</v>
      </c>
      <c r="F262" s="392"/>
      <c r="G262" s="540">
        <f>SUM(G266:I272)</f>
        <v>161379.97689765083</v>
      </c>
      <c r="H262" s="541"/>
      <c r="I262" s="54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53"/>
    </row>
    <row r="263" spans="1:21" ht="15" customHeight="1">
      <c r="A263" s="34"/>
      <c r="B263" s="528" t="s">
        <v>217</v>
      </c>
      <c r="C263" s="529"/>
      <c r="D263" s="530"/>
      <c r="E263" s="408" t="s">
        <v>53</v>
      </c>
      <c r="F263" s="392"/>
      <c r="G263" s="531">
        <f>M177/M231</f>
        <v>18.405987830965348</v>
      </c>
      <c r="H263" s="532"/>
      <c r="I263" s="53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53"/>
    </row>
    <row r="264" spans="1:21" ht="15" customHeight="1">
      <c r="A264" s="34"/>
      <c r="B264" s="528" t="s">
        <v>170</v>
      </c>
      <c r="C264" s="529"/>
      <c r="D264" s="530"/>
      <c r="E264" s="408" t="s">
        <v>8</v>
      </c>
      <c r="F264" s="392"/>
      <c r="G264" s="531">
        <f>G263*1000/(1.732*E159*G265)</f>
        <v>28.696947273531656</v>
      </c>
      <c r="H264" s="532"/>
      <c r="I264" s="53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53"/>
    </row>
    <row r="265" spans="1:21" ht="15" customHeight="1">
      <c r="A265" s="34"/>
      <c r="B265" s="528" t="s">
        <v>216</v>
      </c>
      <c r="C265" s="529"/>
      <c r="D265" s="530"/>
      <c r="E265" s="408" t="s">
        <v>52</v>
      </c>
      <c r="F265" s="392"/>
      <c r="G265" s="545">
        <f>((J254-0.75)/(0.25))*(0.825-0.775)+0.775</f>
        <v>0.80268375224965149</v>
      </c>
      <c r="H265" s="546"/>
      <c r="I265" s="547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53"/>
    </row>
    <row r="266" spans="1:21" ht="15" customHeight="1">
      <c r="A266" s="34"/>
      <c r="B266" s="487" t="s">
        <v>202</v>
      </c>
      <c r="C266" s="487"/>
      <c r="D266" s="487"/>
      <c r="E266" s="408" t="s">
        <v>37</v>
      </c>
      <c r="F266" s="392"/>
      <c r="G266" s="540">
        <f>S248+S249</f>
        <v>585.2672063375619</v>
      </c>
      <c r="H266" s="541"/>
      <c r="I266" s="54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53"/>
    </row>
    <row r="267" spans="1:21" ht="15" customHeight="1">
      <c r="A267" s="34"/>
      <c r="B267" s="487" t="s">
        <v>197</v>
      </c>
      <c r="C267" s="487"/>
      <c r="D267" s="487"/>
      <c r="E267" s="408" t="s">
        <v>37</v>
      </c>
      <c r="F267" s="392"/>
      <c r="G267" s="499">
        <f>SUM(G268:I272)*(1/H254-1)</f>
        <v>16047.839228675148</v>
      </c>
      <c r="H267" s="500"/>
      <c r="I267" s="50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53"/>
    </row>
    <row r="268" spans="1:21" ht="15" customHeight="1">
      <c r="A268" s="34"/>
      <c r="B268" s="487" t="s">
        <v>198</v>
      </c>
      <c r="C268" s="487"/>
      <c r="D268" s="487"/>
      <c r="E268" s="408" t="s">
        <v>37</v>
      </c>
      <c r="F268" s="392"/>
      <c r="G268" s="499">
        <f>SUM(G269:I272)*(1/M223-1)</f>
        <v>31844.311501780379</v>
      </c>
      <c r="H268" s="500"/>
      <c r="I268" s="50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53"/>
    </row>
    <row r="269" spans="1:21" ht="27.75" customHeight="1">
      <c r="A269" s="34"/>
      <c r="B269" s="554" t="s">
        <v>210</v>
      </c>
      <c r="C269" s="555"/>
      <c r="D269" s="556"/>
      <c r="E269" s="408" t="s">
        <v>37</v>
      </c>
      <c r="F269" s="392"/>
      <c r="G269" s="499">
        <f>G199</f>
        <v>94.718471513763888</v>
      </c>
      <c r="H269" s="500"/>
      <c r="I269" s="50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53"/>
    </row>
    <row r="270" spans="1:21" ht="15" customHeight="1">
      <c r="A270" s="34"/>
      <c r="B270" s="487" t="s">
        <v>201</v>
      </c>
      <c r="C270" s="487"/>
      <c r="D270" s="487"/>
      <c r="E270" s="408" t="s">
        <v>37</v>
      </c>
      <c r="F270" s="392"/>
      <c r="G270" s="499">
        <f>G200</f>
        <v>4097.6358248577562</v>
      </c>
      <c r="H270" s="500"/>
      <c r="I270" s="50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53"/>
    </row>
    <row r="271" spans="1:21" ht="15" customHeight="1">
      <c r="A271" s="34"/>
      <c r="B271" s="487" t="s">
        <v>200</v>
      </c>
      <c r="C271" s="487"/>
      <c r="D271" s="487"/>
      <c r="E271" s="408" t="s">
        <v>37</v>
      </c>
      <c r="F271" s="392"/>
      <c r="G271" s="499">
        <f>G201</f>
        <v>43484.081865794498</v>
      </c>
      <c r="H271" s="500"/>
      <c r="I271" s="50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53"/>
    </row>
    <row r="272" spans="1:21" ht="15" customHeight="1">
      <c r="A272" s="34"/>
      <c r="B272" s="487" t="s">
        <v>199</v>
      </c>
      <c r="C272" s="487"/>
      <c r="D272" s="487"/>
      <c r="E272" s="408" t="s">
        <v>37</v>
      </c>
      <c r="F272" s="392"/>
      <c r="G272" s="499">
        <f>G202</f>
        <v>65226.122798691737</v>
      </c>
      <c r="H272" s="500"/>
      <c r="I272" s="50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53"/>
    </row>
    <row r="273" spans="1:21" ht="15" customHeight="1">
      <c r="A273" s="34"/>
      <c r="B273" s="528" t="s">
        <v>215</v>
      </c>
      <c r="C273" s="529"/>
      <c r="D273" s="530"/>
      <c r="E273" s="408" t="s">
        <v>37</v>
      </c>
      <c r="F273" s="392"/>
      <c r="G273" s="499">
        <f>G191-G262</f>
        <v>53645.316925325198</v>
      </c>
      <c r="H273" s="500"/>
      <c r="I273" s="50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53"/>
    </row>
    <row r="274" spans="1:21" ht="6" customHeight="1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4"/>
    </row>
    <row r="275" spans="1:21">
      <c r="C275" s="41"/>
      <c r="D275" s="1"/>
      <c r="E275" s="1"/>
      <c r="F275" s="1"/>
      <c r="G275" s="1"/>
      <c r="H275" s="1"/>
      <c r="I275" s="48"/>
      <c r="J275" s="48"/>
      <c r="K275" s="1"/>
      <c r="L275" s="1"/>
      <c r="M275" s="1"/>
      <c r="N275" s="1"/>
      <c r="O275" s="1"/>
      <c r="P275" s="1"/>
      <c r="Q275" s="1"/>
      <c r="R275" s="305" t="s">
        <v>2</v>
      </c>
      <c r="S275" s="321"/>
      <c r="T275" s="321"/>
      <c r="U275" s="1"/>
    </row>
    <row r="276" spans="1:21">
      <c r="A276" s="403" t="s">
        <v>236</v>
      </c>
      <c r="B276" s="404"/>
      <c r="C276" s="404"/>
      <c r="D276" s="404"/>
      <c r="E276" s="404"/>
      <c r="F276" s="404"/>
      <c r="G276" s="404"/>
      <c r="H276" s="404"/>
      <c r="I276" s="404"/>
      <c r="J276" s="404"/>
      <c r="K276" s="404"/>
      <c r="L276" s="404"/>
      <c r="M276" s="404"/>
      <c r="N276" s="404"/>
      <c r="O276" s="404"/>
      <c r="P276" s="404"/>
      <c r="Q276" s="404"/>
      <c r="R276" s="404"/>
      <c r="S276" s="404"/>
      <c r="T276" s="404"/>
      <c r="U276" s="405"/>
    </row>
    <row r="277" spans="1:21" ht="8.25" customHeight="1">
      <c r="A277" s="34"/>
      <c r="B277" s="1"/>
      <c r="C277" s="162"/>
      <c r="D277" s="1"/>
      <c r="E277" s="1"/>
      <c r="F277" s="1"/>
      <c r="G277" s="1"/>
      <c r="H277" s="1"/>
      <c r="I277" s="48"/>
      <c r="J277" s="48"/>
      <c r="K277" s="1"/>
      <c r="L277" s="1"/>
      <c r="M277" s="1"/>
      <c r="N277" s="1"/>
      <c r="O277" s="1"/>
      <c r="P277" s="1"/>
      <c r="Q277" s="1"/>
      <c r="R277" s="60"/>
      <c r="S277" s="60"/>
      <c r="T277" s="60"/>
      <c r="U277" s="53"/>
    </row>
    <row r="278" spans="1:21" ht="14.25" customHeight="1">
      <c r="A278" s="34"/>
      <c r="B278" s="1"/>
      <c r="C278" s="510" t="s">
        <v>238</v>
      </c>
      <c r="D278" s="510"/>
      <c r="E278" s="510"/>
      <c r="F278" s="510"/>
      <c r="G278" s="510"/>
      <c r="H278" s="510"/>
      <c r="I278" s="510"/>
      <c r="J278" s="510"/>
      <c r="K278" s="510"/>
      <c r="L278" s="510"/>
      <c r="M278" s="510"/>
      <c r="N278" s="510"/>
      <c r="O278" s="510"/>
      <c r="P278" s="510"/>
      <c r="Q278" s="557">
        <v>0.12</v>
      </c>
      <c r="R278" s="557"/>
      <c r="S278" s="509" t="s">
        <v>289</v>
      </c>
      <c r="T278" s="509"/>
      <c r="U278" s="53"/>
    </row>
    <row r="279" spans="1:21" ht="14.25" customHeight="1">
      <c r="A279" s="34"/>
      <c r="B279" s="1"/>
      <c r="C279" s="162"/>
      <c r="D279" s="1"/>
      <c r="E279" s="1"/>
      <c r="F279" s="1"/>
      <c r="G279" s="1"/>
      <c r="H279" s="1"/>
      <c r="I279" s="48"/>
      <c r="J279" s="48"/>
      <c r="K279" s="1"/>
      <c r="L279" s="1"/>
      <c r="M279" s="1"/>
      <c r="N279" s="1"/>
      <c r="O279" s="1"/>
      <c r="P279" s="1"/>
      <c r="Q279" s="1"/>
      <c r="R279" s="60"/>
      <c r="S279" s="60"/>
      <c r="T279" s="60"/>
      <c r="U279" s="53"/>
    </row>
    <row r="280" spans="1:21" ht="12.75" customHeight="1">
      <c r="A280" s="34"/>
      <c r="B280" s="1"/>
      <c r="C280" s="449" t="s">
        <v>239</v>
      </c>
      <c r="D280" s="449"/>
      <c r="E280" s="449"/>
      <c r="F280" s="58"/>
      <c r="G280" s="507" t="s">
        <v>347</v>
      </c>
      <c r="H280" s="508"/>
      <c r="I280" s="508"/>
      <c r="J280" s="508"/>
      <c r="K280" s="508"/>
      <c r="L280" s="508"/>
      <c r="M280" s="508"/>
      <c r="N280" s="508"/>
      <c r="O280" s="508"/>
      <c r="P280" s="508"/>
      <c r="Q280" s="508"/>
      <c r="R280" s="508"/>
      <c r="S280" s="508"/>
      <c r="T280" s="508"/>
      <c r="U280" s="53"/>
    </row>
    <row r="281" spans="1:21" ht="12.75" customHeight="1">
      <c r="A281" s="34"/>
      <c r="B281" s="1"/>
      <c r="C281" s="162"/>
      <c r="D281" s="173"/>
      <c r="E281" s="173"/>
      <c r="F281" s="144"/>
      <c r="G281" s="1"/>
      <c r="H281" s="507" t="s">
        <v>240</v>
      </c>
      <c r="I281" s="507"/>
      <c r="J281" s="507"/>
      <c r="K281" s="507"/>
      <c r="L281" s="507"/>
      <c r="M281" s="507"/>
      <c r="N281" s="507"/>
      <c r="O281" s="507"/>
      <c r="P281" s="507"/>
      <c r="Q281" s="516">
        <f>G273</f>
        <v>53645.316925325198</v>
      </c>
      <c r="R281" s="516"/>
      <c r="S281" s="507" t="s">
        <v>37</v>
      </c>
      <c r="T281" s="507"/>
      <c r="U281" s="53"/>
    </row>
    <row r="282" spans="1:21" ht="12.75" customHeight="1">
      <c r="A282" s="34"/>
      <c r="B282" s="1"/>
      <c r="C282" s="162"/>
      <c r="D282" s="168"/>
      <c r="E282" s="168"/>
      <c r="F282" s="58"/>
      <c r="G282" s="1"/>
      <c r="H282" s="517" t="s">
        <v>281</v>
      </c>
      <c r="I282" s="517"/>
      <c r="J282" s="517"/>
      <c r="K282" s="517"/>
      <c r="L282" s="517"/>
      <c r="M282" s="517"/>
      <c r="N282" s="517"/>
      <c r="O282" s="517"/>
      <c r="P282" s="517"/>
      <c r="Q282" s="516">
        <f>S301</f>
        <v>6437.4380310390234</v>
      </c>
      <c r="R282" s="516"/>
      <c r="S282" s="507" t="s">
        <v>288</v>
      </c>
      <c r="T282" s="507"/>
      <c r="U282" s="53"/>
    </row>
    <row r="283" spans="1:21">
      <c r="A283" s="34"/>
      <c r="B283" s="1"/>
      <c r="C283" s="162"/>
      <c r="D283" s="168"/>
      <c r="E283" s="168"/>
      <c r="F283" s="58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169"/>
      <c r="R283" s="169"/>
      <c r="S283" s="52"/>
      <c r="T283" s="52"/>
      <c r="U283" s="53"/>
    </row>
    <row r="284" spans="1:21" ht="12.75" customHeight="1">
      <c r="A284" s="34"/>
      <c r="B284" s="1"/>
      <c r="C284" s="456" t="s">
        <v>279</v>
      </c>
      <c r="D284" s="456"/>
      <c r="E284" s="456"/>
      <c r="F284" s="58"/>
      <c r="G284" s="517" t="s">
        <v>282</v>
      </c>
      <c r="H284" s="517"/>
      <c r="I284" s="517"/>
      <c r="J284" s="517"/>
      <c r="K284" s="517"/>
      <c r="L284" s="517"/>
      <c r="M284" s="517"/>
      <c r="N284" s="517"/>
      <c r="O284" s="517"/>
      <c r="P284" s="517"/>
      <c r="Q284" s="517"/>
      <c r="R284" s="517"/>
      <c r="S284" s="517"/>
      <c r="T284" s="517"/>
      <c r="U284" s="53"/>
    </row>
    <row r="285" spans="1:21" ht="12.75" customHeight="1">
      <c r="A285" s="34"/>
      <c r="B285" s="1"/>
      <c r="C285" s="162"/>
      <c r="D285" s="174"/>
      <c r="E285" s="174"/>
      <c r="F285" s="141"/>
      <c r="G285" s="517"/>
      <c r="H285" s="517"/>
      <c r="I285" s="517"/>
      <c r="J285" s="517"/>
      <c r="K285" s="517"/>
      <c r="L285" s="517"/>
      <c r="M285" s="517"/>
      <c r="N285" s="517"/>
      <c r="O285" s="517"/>
      <c r="P285" s="517"/>
      <c r="Q285" s="517"/>
      <c r="R285" s="517"/>
      <c r="S285" s="517"/>
      <c r="T285" s="517"/>
      <c r="U285" s="53"/>
    </row>
    <row r="286" spans="1:21" ht="12.75" customHeight="1">
      <c r="A286" s="34"/>
      <c r="B286" s="1"/>
      <c r="C286" s="162"/>
      <c r="D286" s="168"/>
      <c r="E286" s="168"/>
      <c r="F286" s="58"/>
      <c r="G286" s="1"/>
      <c r="H286" s="517" t="s">
        <v>241</v>
      </c>
      <c r="I286" s="517"/>
      <c r="J286" s="517"/>
      <c r="K286" s="517"/>
      <c r="L286" s="517"/>
      <c r="M286" s="517"/>
      <c r="N286" s="517"/>
      <c r="O286" s="517"/>
      <c r="P286" s="517"/>
      <c r="Q286" s="516">
        <f>G196-G266</f>
        <v>548.49928351843846</v>
      </c>
      <c r="R286" s="516"/>
      <c r="S286" s="507" t="s">
        <v>37</v>
      </c>
      <c r="T286" s="508"/>
      <c r="U286" s="53"/>
    </row>
    <row r="287" spans="1:21" ht="12.75" customHeight="1">
      <c r="A287" s="34"/>
      <c r="B287" s="1"/>
      <c r="C287" s="162"/>
      <c r="D287" s="168"/>
      <c r="E287" s="168"/>
      <c r="F287" s="58"/>
      <c r="G287" s="1"/>
      <c r="H287" s="517" t="s">
        <v>281</v>
      </c>
      <c r="I287" s="517"/>
      <c r="J287" s="517"/>
      <c r="K287" s="517"/>
      <c r="L287" s="517"/>
      <c r="M287" s="517"/>
      <c r="N287" s="517"/>
      <c r="O287" s="517"/>
      <c r="P287" s="517"/>
      <c r="Q287" s="516">
        <f>Q286*Q278</f>
        <v>65.819914022212615</v>
      </c>
      <c r="R287" s="516"/>
      <c r="S287" s="507" t="s">
        <v>288</v>
      </c>
      <c r="T287" s="508"/>
      <c r="U287" s="53"/>
    </row>
    <row r="288" spans="1:21" ht="7.5" customHeight="1">
      <c r="A288" s="2"/>
      <c r="B288" s="3"/>
      <c r="C288" s="170"/>
      <c r="D288" s="93"/>
      <c r="E288" s="93"/>
      <c r="F288" s="3"/>
      <c r="G288" s="3"/>
      <c r="H288" s="3"/>
      <c r="I288" s="171"/>
      <c r="J288" s="171"/>
      <c r="K288" s="3"/>
      <c r="L288" s="3"/>
      <c r="M288" s="3"/>
      <c r="N288" s="3"/>
      <c r="O288" s="3"/>
      <c r="P288" s="3"/>
      <c r="Q288" s="3"/>
      <c r="R288" s="165"/>
      <c r="S288" s="165"/>
      <c r="T288" s="165"/>
      <c r="U288" s="4"/>
    </row>
    <row r="289" spans="1:21" ht="9.75" customHeight="1">
      <c r="C289" s="41"/>
      <c r="D289" s="36"/>
      <c r="E289" s="36"/>
      <c r="F289" s="1"/>
      <c r="G289" s="1"/>
      <c r="H289" s="1"/>
      <c r="I289" s="48"/>
      <c r="J289" s="48"/>
      <c r="K289" s="1"/>
      <c r="L289" s="1"/>
      <c r="M289" s="1"/>
      <c r="N289" s="1"/>
      <c r="O289" s="1"/>
      <c r="P289" s="1"/>
      <c r="Q289" s="1"/>
      <c r="R289" s="67"/>
      <c r="S289" s="67"/>
      <c r="T289" s="67"/>
      <c r="U289" s="1"/>
    </row>
    <row r="290" spans="1:21">
      <c r="A290" s="403" t="s">
        <v>237</v>
      </c>
      <c r="B290" s="404"/>
      <c r="C290" s="404"/>
      <c r="D290" s="404"/>
      <c r="E290" s="404"/>
      <c r="F290" s="404"/>
      <c r="G290" s="404"/>
      <c r="H290" s="404"/>
      <c r="I290" s="404"/>
      <c r="J290" s="404"/>
      <c r="K290" s="404"/>
      <c r="L290" s="404"/>
      <c r="M290" s="404"/>
      <c r="N290" s="404"/>
      <c r="O290" s="404"/>
      <c r="P290" s="404"/>
      <c r="Q290" s="404"/>
      <c r="R290" s="404"/>
      <c r="S290" s="404"/>
      <c r="T290" s="404"/>
      <c r="U290" s="405"/>
    </row>
    <row r="291" spans="1:21" ht="43.5" customHeight="1">
      <c r="A291" s="34"/>
      <c r="B291" s="1"/>
      <c r="C291" s="293" t="s">
        <v>247</v>
      </c>
      <c r="D291" s="489" t="s">
        <v>248</v>
      </c>
      <c r="E291" s="489"/>
      <c r="F291" s="489"/>
      <c r="G291" s="489"/>
      <c r="H291" s="489"/>
      <c r="I291" s="489"/>
      <c r="J291" s="489"/>
      <c r="K291" s="489"/>
      <c r="L291" s="489"/>
      <c r="M291" s="489"/>
      <c r="N291" s="489" t="s">
        <v>222</v>
      </c>
      <c r="O291" s="489"/>
      <c r="P291" s="489"/>
      <c r="Q291" s="488" t="s">
        <v>283</v>
      </c>
      <c r="R291" s="488"/>
      <c r="S291" s="488" t="s">
        <v>284</v>
      </c>
      <c r="T291" s="488"/>
      <c r="U291" s="53"/>
    </row>
    <row r="292" spans="1:21" ht="15" customHeight="1">
      <c r="A292" s="34"/>
      <c r="B292" s="104"/>
      <c r="C292" s="228">
        <v>1</v>
      </c>
      <c r="D292" s="483" t="s">
        <v>242</v>
      </c>
      <c r="E292" s="483"/>
      <c r="F292" s="483"/>
      <c r="G292" s="483"/>
      <c r="H292" s="483"/>
      <c r="I292" s="483"/>
      <c r="J292" s="483"/>
      <c r="K292" s="483"/>
      <c r="L292" s="483"/>
      <c r="M292" s="483"/>
      <c r="N292" s="484">
        <v>1</v>
      </c>
      <c r="O292" s="484"/>
      <c r="P292" s="484"/>
      <c r="Q292" s="482">
        <v>3431</v>
      </c>
      <c r="R292" s="482"/>
      <c r="S292" s="458">
        <f>N292*Q292</f>
        <v>3431</v>
      </c>
      <c r="T292" s="458"/>
      <c r="U292" s="53"/>
    </row>
    <row r="293" spans="1:21" ht="12.75" customHeight="1">
      <c r="A293" s="34"/>
      <c r="B293" s="1"/>
      <c r="C293" s="228">
        <v>2</v>
      </c>
      <c r="D293" s="483" t="s">
        <v>243</v>
      </c>
      <c r="E293" s="483"/>
      <c r="F293" s="483"/>
      <c r="G293" s="483"/>
      <c r="H293" s="483"/>
      <c r="I293" s="483"/>
      <c r="J293" s="483"/>
      <c r="K293" s="483"/>
      <c r="L293" s="483"/>
      <c r="M293" s="483"/>
      <c r="N293" s="484">
        <v>1</v>
      </c>
      <c r="O293" s="484"/>
      <c r="P293" s="484"/>
      <c r="Q293" s="482">
        <v>1000</v>
      </c>
      <c r="R293" s="482"/>
      <c r="S293" s="458">
        <f>N293*Q293</f>
        <v>1000</v>
      </c>
      <c r="T293" s="458"/>
      <c r="U293" s="53"/>
    </row>
    <row r="294" spans="1:21" ht="12.75" customHeight="1">
      <c r="A294" s="34"/>
      <c r="B294" s="1"/>
      <c r="C294" s="228">
        <v>3</v>
      </c>
      <c r="D294" s="483" t="s">
        <v>244</v>
      </c>
      <c r="E294" s="483"/>
      <c r="F294" s="483"/>
      <c r="G294" s="483"/>
      <c r="H294" s="483"/>
      <c r="I294" s="483"/>
      <c r="J294" s="483"/>
      <c r="K294" s="483"/>
      <c r="L294" s="483"/>
      <c r="M294" s="483"/>
      <c r="N294" s="484">
        <v>1</v>
      </c>
      <c r="O294" s="484"/>
      <c r="P294" s="484"/>
      <c r="Q294" s="482">
        <v>245</v>
      </c>
      <c r="R294" s="482"/>
      <c r="S294" s="458">
        <f>N294*Q294</f>
        <v>245</v>
      </c>
      <c r="T294" s="458"/>
      <c r="U294" s="53"/>
    </row>
    <row r="295" spans="1:21" ht="12.75" customHeight="1">
      <c r="A295" s="34"/>
      <c r="B295" s="1"/>
      <c r="C295" s="454" t="s">
        <v>71</v>
      </c>
      <c r="D295" s="454"/>
      <c r="E295" s="454"/>
      <c r="F295" s="454"/>
      <c r="G295" s="454"/>
      <c r="H295" s="454"/>
      <c r="I295" s="454"/>
      <c r="J295" s="454"/>
      <c r="K295" s="454"/>
      <c r="L295" s="454"/>
      <c r="M295" s="454"/>
      <c r="N295" s="454"/>
      <c r="O295" s="454"/>
      <c r="P295" s="454"/>
      <c r="Q295" s="454"/>
      <c r="R295" s="454"/>
      <c r="S295" s="458">
        <f>SUM(S292:T294)*1.15</f>
        <v>5377.4</v>
      </c>
      <c r="T295" s="458"/>
      <c r="U295" s="53"/>
    </row>
    <row r="296" spans="1:21" ht="5.25" customHeight="1">
      <c r="A296" s="2"/>
      <c r="B296" s="3"/>
      <c r="C296" s="3"/>
      <c r="D296" s="164"/>
      <c r="E296" s="63"/>
      <c r="F296" s="63"/>
      <c r="G296" s="558"/>
      <c r="H296" s="558"/>
      <c r="I296" s="558"/>
      <c r="J296" s="558"/>
      <c r="K296" s="558"/>
      <c r="L296" s="558"/>
      <c r="M296" s="558"/>
      <c r="N296" s="558"/>
      <c r="O296" s="558"/>
      <c r="P296" s="558"/>
      <c r="Q296" s="558"/>
      <c r="R296" s="558"/>
      <c r="S296" s="558"/>
      <c r="T296" s="558"/>
      <c r="U296" s="4"/>
    </row>
    <row r="297" spans="1:21" ht="9.75" customHeight="1">
      <c r="D297" s="119"/>
      <c r="E297" s="51"/>
      <c r="F297" s="51"/>
      <c r="G297" s="120"/>
      <c r="H297" s="120"/>
      <c r="I297" s="42"/>
      <c r="J297" s="70"/>
      <c r="K297" s="70"/>
      <c r="L297" s="70"/>
      <c r="M297" s="70"/>
      <c r="N297" s="70"/>
      <c r="O297" s="70"/>
      <c r="P297" s="70"/>
      <c r="Q297" s="70"/>
      <c r="R297" s="70"/>
      <c r="S297" s="121"/>
      <c r="T297" s="121"/>
    </row>
    <row r="298" spans="1:21" ht="12.75" customHeight="1">
      <c r="A298" s="403" t="s">
        <v>245</v>
      </c>
      <c r="B298" s="404"/>
      <c r="C298" s="404"/>
      <c r="D298" s="404"/>
      <c r="E298" s="404"/>
      <c r="F298" s="404"/>
      <c r="G298" s="404"/>
      <c r="H298" s="404"/>
      <c r="I298" s="404"/>
      <c r="J298" s="404"/>
      <c r="K298" s="404"/>
      <c r="L298" s="404"/>
      <c r="M298" s="404"/>
      <c r="N298" s="404"/>
      <c r="O298" s="404"/>
      <c r="P298" s="404"/>
      <c r="Q298" s="404"/>
      <c r="R298" s="404"/>
      <c r="S298" s="404"/>
      <c r="T298" s="404"/>
      <c r="U298" s="405"/>
    </row>
    <row r="299" spans="1:21">
      <c r="A299" s="34"/>
      <c r="B299" s="1"/>
      <c r="C299" s="1"/>
      <c r="D299" s="168"/>
      <c r="E299" s="58"/>
      <c r="F299" s="58"/>
      <c r="G299" s="158"/>
      <c r="H299" s="158"/>
      <c r="I299" s="172"/>
      <c r="J299" s="178"/>
      <c r="K299" s="178"/>
      <c r="L299" s="178"/>
      <c r="M299" s="178"/>
      <c r="N299" s="178"/>
      <c r="O299" s="178"/>
      <c r="P299" s="178"/>
      <c r="Q299" s="178"/>
      <c r="R299" s="178"/>
      <c r="S299" s="169"/>
      <c r="T299" s="169"/>
      <c r="U299" s="53"/>
    </row>
    <row r="300" spans="1:21" ht="14.25" customHeight="1">
      <c r="A300" s="34"/>
      <c r="B300" s="1"/>
      <c r="C300" s="162"/>
      <c r="D300" s="456" t="s">
        <v>246</v>
      </c>
      <c r="E300" s="456"/>
      <c r="F300" s="47"/>
      <c r="G300" s="457" t="s">
        <v>348</v>
      </c>
      <c r="H300" s="457"/>
      <c r="I300" s="457"/>
      <c r="J300" s="457"/>
      <c r="K300" s="457"/>
      <c r="L300" s="457"/>
      <c r="M300" s="457"/>
      <c r="N300" s="457"/>
      <c r="O300" s="457"/>
      <c r="P300" s="457"/>
      <c r="Q300" s="457"/>
      <c r="R300" s="457"/>
      <c r="S300" s="458">
        <f>G273</f>
        <v>53645.316925325198</v>
      </c>
      <c r="T300" s="458"/>
      <c r="U300" s="53"/>
    </row>
    <row r="301" spans="1:21">
      <c r="A301" s="34"/>
      <c r="B301" s="1"/>
      <c r="C301" s="162"/>
      <c r="D301" s="168"/>
      <c r="E301" s="58"/>
      <c r="F301" s="58"/>
      <c r="G301" s="454" t="s">
        <v>287</v>
      </c>
      <c r="H301" s="454"/>
      <c r="I301" s="454" t="s">
        <v>61</v>
      </c>
      <c r="J301" s="454"/>
      <c r="K301" s="454"/>
      <c r="L301" s="454"/>
      <c r="M301" s="454"/>
      <c r="N301" s="454"/>
      <c r="O301" s="454"/>
      <c r="P301" s="454"/>
      <c r="Q301" s="454"/>
      <c r="R301" s="454"/>
      <c r="S301" s="455">
        <f>S300*Q278</f>
        <v>6437.4380310390234</v>
      </c>
      <c r="T301" s="455"/>
      <c r="U301" s="53"/>
    </row>
    <row r="302" spans="1:21">
      <c r="A302" s="34"/>
      <c r="B302" s="1"/>
      <c r="C302" s="162"/>
      <c r="D302" s="168"/>
      <c r="E302" s="58"/>
      <c r="F302" s="58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5"/>
      <c r="T302" s="55"/>
      <c r="U302" s="53"/>
    </row>
    <row r="303" spans="1:21" ht="16.5" customHeight="1">
      <c r="A303" s="34"/>
      <c r="B303" s="1"/>
      <c r="C303" s="162"/>
      <c r="D303" s="449" t="s">
        <v>285</v>
      </c>
      <c r="E303" s="449"/>
      <c r="F303" s="449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452" t="s">
        <v>349</v>
      </c>
      <c r="R303" s="453"/>
      <c r="S303" s="450">
        <f>S295</f>
        <v>5377.4</v>
      </c>
      <c r="T303" s="451"/>
      <c r="U303" s="53"/>
    </row>
    <row r="304" spans="1:21">
      <c r="A304" s="34"/>
      <c r="B304" s="1"/>
      <c r="C304" s="162"/>
      <c r="D304" s="1"/>
      <c r="E304" s="58"/>
      <c r="F304" s="58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5"/>
      <c r="T304" s="55"/>
      <c r="U304" s="53"/>
    </row>
    <row r="305" spans="1:21" ht="17.25" customHeight="1">
      <c r="A305" s="34"/>
      <c r="B305" s="1"/>
      <c r="C305" s="162"/>
      <c r="D305" s="449" t="s">
        <v>286</v>
      </c>
      <c r="E305" s="449"/>
      <c r="F305" s="144"/>
      <c r="G305" s="177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6" t="s">
        <v>351</v>
      </c>
      <c r="S305" s="548">
        <f>S295/S301</f>
        <v>0.83533231295930155</v>
      </c>
      <c r="T305" s="549"/>
      <c r="U305" s="53"/>
    </row>
    <row r="306" spans="1:21" ht="8.25" customHeight="1">
      <c r="A306" s="2"/>
      <c r="B306" s="3"/>
      <c r="C306" s="3"/>
      <c r="D306" s="164"/>
      <c r="E306" s="63"/>
      <c r="F306" s="63"/>
      <c r="G306" s="63"/>
      <c r="H306" s="63"/>
      <c r="I306" s="179"/>
      <c r="J306" s="63"/>
      <c r="K306" s="63"/>
      <c r="L306" s="63"/>
      <c r="M306" s="63"/>
      <c r="N306" s="63"/>
      <c r="O306" s="63"/>
      <c r="P306" s="63"/>
      <c r="Q306" s="63"/>
      <c r="R306" s="63"/>
      <c r="S306" s="180"/>
      <c r="T306" s="180"/>
      <c r="U306" s="4"/>
    </row>
    <row r="307" spans="1:21">
      <c r="D307" s="119"/>
      <c r="E307" s="51"/>
      <c r="F307" s="51"/>
      <c r="G307" s="51"/>
      <c r="H307" s="51"/>
      <c r="I307" s="43"/>
      <c r="J307" s="51"/>
      <c r="K307" s="51"/>
      <c r="L307" s="51"/>
      <c r="M307" s="51"/>
      <c r="N307" s="51"/>
      <c r="O307" s="51"/>
      <c r="P307" s="51"/>
      <c r="Q307" s="51"/>
      <c r="R307" s="51"/>
      <c r="S307" s="121"/>
      <c r="T307" s="121"/>
    </row>
    <row r="308" spans="1:21">
      <c r="D308" s="119"/>
      <c r="E308" s="51"/>
      <c r="F308" s="51"/>
      <c r="G308" s="51"/>
      <c r="H308" s="51"/>
      <c r="I308" s="43"/>
      <c r="J308" s="51"/>
      <c r="K308" s="51"/>
      <c r="L308" s="51"/>
      <c r="M308" s="51"/>
      <c r="N308" s="51"/>
      <c r="O308" s="51"/>
      <c r="P308" s="51"/>
      <c r="Q308" s="51"/>
      <c r="R308" s="51"/>
      <c r="S308" s="121"/>
      <c r="T308" s="121"/>
    </row>
  </sheetData>
  <mergeCells count="460">
    <mergeCell ref="S305:T305"/>
    <mergeCell ref="A8:T8"/>
    <mergeCell ref="A6:T7"/>
    <mergeCell ref="B273:D273"/>
    <mergeCell ref="E273:F273"/>
    <mergeCell ref="G273:I273"/>
    <mergeCell ref="A10:U10"/>
    <mergeCell ref="B272:D272"/>
    <mergeCell ref="E272:F272"/>
    <mergeCell ref="G272:I272"/>
    <mergeCell ref="B269:D269"/>
    <mergeCell ref="R275:T275"/>
    <mergeCell ref="B271:D271"/>
    <mergeCell ref="E271:F271"/>
    <mergeCell ref="G271:I271"/>
    <mergeCell ref="C295:R295"/>
    <mergeCell ref="S295:T295"/>
    <mergeCell ref="Q278:R278"/>
    <mergeCell ref="S294:T294"/>
    <mergeCell ref="N294:P294"/>
    <mergeCell ref="Q293:R293"/>
    <mergeCell ref="G296:T296"/>
    <mergeCell ref="D293:M293"/>
    <mergeCell ref="N293:P293"/>
    <mergeCell ref="S293:T293"/>
    <mergeCell ref="A12:T12"/>
    <mergeCell ref="D305:E305"/>
    <mergeCell ref="I125:J125"/>
    <mergeCell ref="M125:P125"/>
    <mergeCell ref="S125:T125"/>
    <mergeCell ref="E67:T67"/>
    <mergeCell ref="E269:F269"/>
    <mergeCell ref="G269:I269"/>
    <mergeCell ref="B270:D270"/>
    <mergeCell ref="E270:F270"/>
    <mergeCell ref="G270:I270"/>
    <mergeCell ref="B265:D265"/>
    <mergeCell ref="E265:F265"/>
    <mergeCell ref="G265:I265"/>
    <mergeCell ref="B266:D266"/>
    <mergeCell ref="E266:F266"/>
    <mergeCell ref="G266:I266"/>
    <mergeCell ref="B267:D267"/>
    <mergeCell ref="E267:F267"/>
    <mergeCell ref="G267:I267"/>
    <mergeCell ref="B268:D268"/>
    <mergeCell ref="E268:F268"/>
    <mergeCell ref="G268:I268"/>
    <mergeCell ref="B264:D264"/>
    <mergeCell ref="E264:F264"/>
    <mergeCell ref="G264:I264"/>
    <mergeCell ref="B263:D263"/>
    <mergeCell ref="E263:F263"/>
    <mergeCell ref="G263:I263"/>
    <mergeCell ref="B261:D261"/>
    <mergeCell ref="E261:F261"/>
    <mergeCell ref="G261:I261"/>
    <mergeCell ref="B262:D262"/>
    <mergeCell ref="E262:F262"/>
    <mergeCell ref="G262:I262"/>
    <mergeCell ref="N257:P257"/>
    <mergeCell ref="Q257:R257"/>
    <mergeCell ref="S257:T257"/>
    <mergeCell ref="L256:M256"/>
    <mergeCell ref="N256:P256"/>
    <mergeCell ref="Q256:R256"/>
    <mergeCell ref="L257:M257"/>
    <mergeCell ref="L253:M253"/>
    <mergeCell ref="N253:P253"/>
    <mergeCell ref="Q253:R253"/>
    <mergeCell ref="L254:M254"/>
    <mergeCell ref="S256:T256"/>
    <mergeCell ref="N254:P254"/>
    <mergeCell ref="Q254:R254"/>
    <mergeCell ref="A260:U260"/>
    <mergeCell ref="C284:E284"/>
    <mergeCell ref="C280:E280"/>
    <mergeCell ref="N249:P249"/>
    <mergeCell ref="S248:T248"/>
    <mergeCell ref="A252:U252"/>
    <mergeCell ref="F253:G253"/>
    <mergeCell ref="H253:I253"/>
    <mergeCell ref="J253:K253"/>
    <mergeCell ref="L249:M249"/>
    <mergeCell ref="B248:C249"/>
    <mergeCell ref="D248:F248"/>
    <mergeCell ref="H248:I248"/>
    <mergeCell ref="J248:K248"/>
    <mergeCell ref="L248:M248"/>
    <mergeCell ref="S249:T249"/>
    <mergeCell ref="N248:P248"/>
    <mergeCell ref="D249:F249"/>
    <mergeCell ref="H249:I249"/>
    <mergeCell ref="J249:K249"/>
    <mergeCell ref="Q287:R287"/>
    <mergeCell ref="S287:T287"/>
    <mergeCell ref="S281:T281"/>
    <mergeCell ref="Q282:R282"/>
    <mergeCell ref="S282:T282"/>
    <mergeCell ref="G284:T285"/>
    <mergeCell ref="H286:P286"/>
    <mergeCell ref="Q281:R281"/>
    <mergeCell ref="H287:P287"/>
    <mergeCell ref="H281:P281"/>
    <mergeCell ref="H282:P282"/>
    <mergeCell ref="Q286:R286"/>
    <mergeCell ref="S286:T286"/>
    <mergeCell ref="A237:U237"/>
    <mergeCell ref="A276:U276"/>
    <mergeCell ref="G280:T280"/>
    <mergeCell ref="S278:T278"/>
    <mergeCell ref="C278:P278"/>
    <mergeCell ref="A245:U245"/>
    <mergeCell ref="B246:F247"/>
    <mergeCell ref="F242:T242"/>
    <mergeCell ref="W221:W226"/>
    <mergeCell ref="F239:T239"/>
    <mergeCell ref="F240:T240"/>
    <mergeCell ref="G246:G247"/>
    <mergeCell ref="H246:I246"/>
    <mergeCell ref="J246:M246"/>
    <mergeCell ref="R246:T246"/>
    <mergeCell ref="H247:I247"/>
    <mergeCell ref="J247:K247"/>
    <mergeCell ref="L247:M247"/>
    <mergeCell ref="N247:P247"/>
    <mergeCell ref="S247:T247"/>
    <mergeCell ref="N246:P246"/>
    <mergeCell ref="F254:G254"/>
    <mergeCell ref="H254:I254"/>
    <mergeCell ref="J254:K254"/>
    <mergeCell ref="A213:U213"/>
    <mergeCell ref="A219:U219"/>
    <mergeCell ref="C221:E221"/>
    <mergeCell ref="C215:T215"/>
    <mergeCell ref="C216:T216"/>
    <mergeCell ref="M221:P221"/>
    <mergeCell ref="A205:U205"/>
    <mergeCell ref="B200:D200"/>
    <mergeCell ref="E200:F200"/>
    <mergeCell ref="G200:I200"/>
    <mergeCell ref="B201:D201"/>
    <mergeCell ref="E201:F201"/>
    <mergeCell ref="E197:F197"/>
    <mergeCell ref="G197:I197"/>
    <mergeCell ref="B198:D198"/>
    <mergeCell ref="G201:I201"/>
    <mergeCell ref="B202:D202"/>
    <mergeCell ref="E202:F202"/>
    <mergeCell ref="G202:I202"/>
    <mergeCell ref="B194:D194"/>
    <mergeCell ref="E194:F194"/>
    <mergeCell ref="G194:I194"/>
    <mergeCell ref="B199:D199"/>
    <mergeCell ref="E199:F199"/>
    <mergeCell ref="G199:I199"/>
    <mergeCell ref="B196:D196"/>
    <mergeCell ref="E196:F196"/>
    <mergeCell ref="G196:I196"/>
    <mergeCell ref="B197:D197"/>
    <mergeCell ref="B192:D192"/>
    <mergeCell ref="E192:F192"/>
    <mergeCell ref="G192:I192"/>
    <mergeCell ref="B193:D193"/>
    <mergeCell ref="E193:F193"/>
    <mergeCell ref="G193:I193"/>
    <mergeCell ref="B195:D195"/>
    <mergeCell ref="E195:F195"/>
    <mergeCell ref="G195:I195"/>
    <mergeCell ref="Q294:R294"/>
    <mergeCell ref="D294:M294"/>
    <mergeCell ref="N292:P292"/>
    <mergeCell ref="Q292:R292"/>
    <mergeCell ref="E198:F198"/>
    <mergeCell ref="G198:I198"/>
    <mergeCell ref="F241:T241"/>
    <mergeCell ref="B191:D191"/>
    <mergeCell ref="E191:F191"/>
    <mergeCell ref="D292:M292"/>
    <mergeCell ref="G191:I191"/>
    <mergeCell ref="A290:U290"/>
    <mergeCell ref="S291:T291"/>
    <mergeCell ref="Q291:R291"/>
    <mergeCell ref="N291:P291"/>
    <mergeCell ref="D291:M291"/>
    <mergeCell ref="S292:T292"/>
    <mergeCell ref="C211:T211"/>
    <mergeCell ref="C207:T207"/>
    <mergeCell ref="C208:T208"/>
    <mergeCell ref="M222:P222"/>
    <mergeCell ref="M223:P223"/>
    <mergeCell ref="G221:I221"/>
    <mergeCell ref="G222:I222"/>
    <mergeCell ref="B184:C184"/>
    <mergeCell ref="B190:D190"/>
    <mergeCell ref="E190:F190"/>
    <mergeCell ref="G190:I190"/>
    <mergeCell ref="P183:Q183"/>
    <mergeCell ref="I183:J183"/>
    <mergeCell ref="A188:U188"/>
    <mergeCell ref="R184:S184"/>
    <mergeCell ref="B185:C185"/>
    <mergeCell ref="P182:Q182"/>
    <mergeCell ref="R182:S182"/>
    <mergeCell ref="G183:H183"/>
    <mergeCell ref="G184:H184"/>
    <mergeCell ref="I184:J184"/>
    <mergeCell ref="P185:Q185"/>
    <mergeCell ref="M184:O184"/>
    <mergeCell ref="P184:Q184"/>
    <mergeCell ref="K183:L183"/>
    <mergeCell ref="M183:O183"/>
    <mergeCell ref="G185:H185"/>
    <mergeCell ref="I185:J185"/>
    <mergeCell ref="K185:L185"/>
    <mergeCell ref="R185:S185"/>
    <mergeCell ref="M185:O185"/>
    <mergeCell ref="I182:J182"/>
    <mergeCell ref="K182:L182"/>
    <mergeCell ref="M182:O182"/>
    <mergeCell ref="K184:L184"/>
    <mergeCell ref="D303:F303"/>
    <mergeCell ref="S303:T303"/>
    <mergeCell ref="Q303:R303"/>
    <mergeCell ref="G301:R301"/>
    <mergeCell ref="S301:T301"/>
    <mergeCell ref="D300:E300"/>
    <mergeCell ref="G300:R300"/>
    <mergeCell ref="S300:T300"/>
    <mergeCell ref="S161:T161"/>
    <mergeCell ref="E162:F162"/>
    <mergeCell ref="G162:I162"/>
    <mergeCell ref="J162:L162"/>
    <mergeCell ref="G166:H166"/>
    <mergeCell ref="A298:U298"/>
    <mergeCell ref="R183:S183"/>
    <mergeCell ref="B181:S181"/>
    <mergeCell ref="B182:C183"/>
    <mergeCell ref="G182:H182"/>
    <mergeCell ref="F171:H171"/>
    <mergeCell ref="F172:H172"/>
    <mergeCell ref="F173:H173"/>
    <mergeCell ref="I165:J165"/>
    <mergeCell ref="J161:L161"/>
    <mergeCell ref="M161:N161"/>
    <mergeCell ref="A169:U169"/>
    <mergeCell ref="K166:L166"/>
    <mergeCell ref="M166:O166"/>
    <mergeCell ref="P166:Q166"/>
    <mergeCell ref="R166:S166"/>
    <mergeCell ref="I166:J166"/>
    <mergeCell ref="P158:T158"/>
    <mergeCell ref="K165:L165"/>
    <mergeCell ref="M165:O165"/>
    <mergeCell ref="M162:N162"/>
    <mergeCell ref="S162:T162"/>
    <mergeCell ref="S160:T160"/>
    <mergeCell ref="C164:S164"/>
    <mergeCell ref="P165:Q165"/>
    <mergeCell ref="R165:S165"/>
    <mergeCell ref="G165:H165"/>
    <mergeCell ref="E161:F161"/>
    <mergeCell ref="G161:I161"/>
    <mergeCell ref="E160:F160"/>
    <mergeCell ref="G160:I160"/>
    <mergeCell ref="J160:L160"/>
    <mergeCell ref="M160:N160"/>
    <mergeCell ref="E159:F159"/>
    <mergeCell ref="G159:I159"/>
    <mergeCell ref="J159:L159"/>
    <mergeCell ref="M159:N159"/>
    <mergeCell ref="S159:T159"/>
    <mergeCell ref="D153:F153"/>
    <mergeCell ref="H153:I153"/>
    <mergeCell ref="E158:F158"/>
    <mergeCell ref="J153:K153"/>
    <mergeCell ref="L153:M153"/>
    <mergeCell ref="G158:I158"/>
    <mergeCell ref="J158:L158"/>
    <mergeCell ref="M158:N158"/>
    <mergeCell ref="S152:T152"/>
    <mergeCell ref="N153:P153"/>
    <mergeCell ref="S153:T153"/>
    <mergeCell ref="A156:U156"/>
    <mergeCell ref="B152:C153"/>
    <mergeCell ref="D152:F152"/>
    <mergeCell ref="H152:I152"/>
    <mergeCell ref="J152:K152"/>
    <mergeCell ref="L152:M152"/>
    <mergeCell ref="N152:P152"/>
    <mergeCell ref="R147:T147"/>
    <mergeCell ref="A149:U149"/>
    <mergeCell ref="B150:F151"/>
    <mergeCell ref="G150:G151"/>
    <mergeCell ref="H150:I150"/>
    <mergeCell ref="J150:M150"/>
    <mergeCell ref="N150:P150"/>
    <mergeCell ref="R150:T150"/>
    <mergeCell ref="H151:I151"/>
    <mergeCell ref="J151:K151"/>
    <mergeCell ref="L151:M151"/>
    <mergeCell ref="N151:P151"/>
    <mergeCell ref="S151:T151"/>
    <mergeCell ref="B144:C144"/>
    <mergeCell ref="H144:I144"/>
    <mergeCell ref="K144:L144"/>
    <mergeCell ref="N144:P144"/>
    <mergeCell ref="N139:P139"/>
    <mergeCell ref="B146:T146"/>
    <mergeCell ref="B142:C143"/>
    <mergeCell ref="D142:E142"/>
    <mergeCell ref="F142:I142"/>
    <mergeCell ref="J142:P142"/>
    <mergeCell ref="R137:T137"/>
    <mergeCell ref="K138:L138"/>
    <mergeCell ref="N138:P138"/>
    <mergeCell ref="N143:P143"/>
    <mergeCell ref="B141:E141"/>
    <mergeCell ref="F141:T141"/>
    <mergeCell ref="H139:I139"/>
    <mergeCell ref="K139:L139"/>
    <mergeCell ref="Q142:R142"/>
    <mergeCell ref="S142:T142"/>
    <mergeCell ref="H143:I143"/>
    <mergeCell ref="K143:L143"/>
    <mergeCell ref="H138:I138"/>
    <mergeCell ref="I129:J129"/>
    <mergeCell ref="F131:T131"/>
    <mergeCell ref="M124:P124"/>
    <mergeCell ref="S124:T124"/>
    <mergeCell ref="P114:R114"/>
    <mergeCell ref="I126:J126"/>
    <mergeCell ref="M126:P126"/>
    <mergeCell ref="S126:T126"/>
    <mergeCell ref="S129:T129"/>
    <mergeCell ref="A122:U122"/>
    <mergeCell ref="I123:J123"/>
    <mergeCell ref="M123:P123"/>
    <mergeCell ref="S123:T123"/>
    <mergeCell ref="I124:J124"/>
    <mergeCell ref="I127:J127"/>
    <mergeCell ref="M127:P127"/>
    <mergeCell ref="F130:G130"/>
    <mergeCell ref="B132:T132"/>
    <mergeCell ref="A135:U135"/>
    <mergeCell ref="B137:D139"/>
    <mergeCell ref="E137:G137"/>
    <mergeCell ref="H137:L137"/>
    <mergeCell ref="M137:Q137"/>
    <mergeCell ref="S114:T114"/>
    <mergeCell ref="S86:T86"/>
    <mergeCell ref="A87:U87"/>
    <mergeCell ref="B112:E112"/>
    <mergeCell ref="R63:T63"/>
    <mergeCell ref="R64:T64"/>
    <mergeCell ref="H77:I77"/>
    <mergeCell ref="J83:K83"/>
    <mergeCell ref="E63:F63"/>
    <mergeCell ref="L63:M63"/>
    <mergeCell ref="P113:R113"/>
    <mergeCell ref="S113:T113"/>
    <mergeCell ref="B114:E114"/>
    <mergeCell ref="F114:H114"/>
    <mergeCell ref="I114:K114"/>
    <mergeCell ref="E64:F64"/>
    <mergeCell ref="P159:R159"/>
    <mergeCell ref="A70:U70"/>
    <mergeCell ref="D72:I72"/>
    <mergeCell ref="E30:G30"/>
    <mergeCell ref="E31:G31"/>
    <mergeCell ref="E34:G34"/>
    <mergeCell ref="J77:K77"/>
    <mergeCell ref="P112:R112"/>
    <mergeCell ref="S112:T112"/>
    <mergeCell ref="L62:M62"/>
    <mergeCell ref="O74:S74"/>
    <mergeCell ref="R62:T62"/>
    <mergeCell ref="E56:M56"/>
    <mergeCell ref="F112:H112"/>
    <mergeCell ref="I112:K112"/>
    <mergeCell ref="J121:K121"/>
    <mergeCell ref="B113:E113"/>
    <mergeCell ref="F113:H113"/>
    <mergeCell ref="I113:K113"/>
    <mergeCell ref="B57:M57"/>
    <mergeCell ref="E62:F62"/>
    <mergeCell ref="L66:M66"/>
    <mergeCell ref="D73:I73"/>
    <mergeCell ref="O15:S15"/>
    <mergeCell ref="D15:G15"/>
    <mergeCell ref="B13:U14"/>
    <mergeCell ref="F17:T17"/>
    <mergeCell ref="O47:R48"/>
    <mergeCell ref="A60:U60"/>
    <mergeCell ref="J23:U23"/>
    <mergeCell ref="K53:L53"/>
    <mergeCell ref="K54:L54"/>
    <mergeCell ref="K52:L52"/>
    <mergeCell ref="F18:K18"/>
    <mergeCell ref="O18:T18"/>
    <mergeCell ref="E24:G24"/>
    <mergeCell ref="E25:G25"/>
    <mergeCell ref="E26:G26"/>
    <mergeCell ref="E29:G29"/>
    <mergeCell ref="A21:U21"/>
    <mergeCell ref="E35:G35"/>
    <mergeCell ref="E36:G36"/>
    <mergeCell ref="E44:G44"/>
    <mergeCell ref="E45:G45"/>
    <mergeCell ref="E46:G46"/>
    <mergeCell ref="E40:G40"/>
    <mergeCell ref="E41:G41"/>
    <mergeCell ref="P160:R160"/>
    <mergeCell ref="P161:R161"/>
    <mergeCell ref="P162:R162"/>
    <mergeCell ref="B68:T68"/>
    <mergeCell ref="O66:Q66"/>
    <mergeCell ref="B71:C71"/>
    <mergeCell ref="E75:I75"/>
    <mergeCell ref="K71:L71"/>
    <mergeCell ref="O72:T72"/>
    <mergeCell ref="O73:T73"/>
    <mergeCell ref="O77:S77"/>
    <mergeCell ref="O78:S78"/>
    <mergeCell ref="E79:T79"/>
    <mergeCell ref="L114:O114"/>
    <mergeCell ref="E119:T119"/>
    <mergeCell ref="J116:K116"/>
    <mergeCell ref="H116:I116"/>
    <mergeCell ref="S116:T116"/>
    <mergeCell ref="H78:I78"/>
    <mergeCell ref="J78:K78"/>
    <mergeCell ref="D74:I74"/>
    <mergeCell ref="A82:U82"/>
    <mergeCell ref="D83:F83"/>
    <mergeCell ref="L112:O112"/>
    <mergeCell ref="R173:S173"/>
    <mergeCell ref="C210:T210"/>
    <mergeCell ref="E84:T84"/>
    <mergeCell ref="L113:O113"/>
    <mergeCell ref="F128:T128"/>
    <mergeCell ref="M129:P129"/>
    <mergeCell ref="Q130:R130"/>
    <mergeCell ref="K130:L130"/>
    <mergeCell ref="M130:O130"/>
    <mergeCell ref="E145:T145"/>
    <mergeCell ref="R175:S175"/>
    <mergeCell ref="F175:H175"/>
    <mergeCell ref="B170:D170"/>
    <mergeCell ref="B174:C174"/>
    <mergeCell ref="B176:E176"/>
    <mergeCell ref="C209:T209"/>
    <mergeCell ref="K172:Q172"/>
    <mergeCell ref="K173:Q173"/>
    <mergeCell ref="R171:S171"/>
    <mergeCell ref="R172:S172"/>
    <mergeCell ref="F179:H179"/>
    <mergeCell ref="K179:P179"/>
    <mergeCell ref="R179:S179"/>
    <mergeCell ref="R177:S177"/>
  </mergeCells>
  <phoneticPr fontId="0" type="noConversion"/>
  <pageMargins left="0.35433070866141736" right="0.19685039370078741" top="0.23622047244094491" bottom="0.23622047244094491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Ejemplo</vt:lpstr>
      <vt:lpstr>Ejemplo!Print_Area</vt:lpstr>
      <vt:lpstr>Ejemplo!Print_Titles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Watergy Mexico</dc:title>
  <dc:creator>Arturo Pedraza</dc:creator>
  <cp:lastModifiedBy>Christoph Tagwerker</cp:lastModifiedBy>
  <cp:lastPrinted>2009-10-09T18:21:12Z</cp:lastPrinted>
  <dcterms:created xsi:type="dcterms:W3CDTF">1996-11-27T10:00:04Z</dcterms:created>
  <dcterms:modified xsi:type="dcterms:W3CDTF">2011-01-04T21:46:17Z</dcterms:modified>
</cp:coreProperties>
</file>