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255" windowWidth="19200" windowHeight="11640" tabRatio="938" firstSheet="7" activeTab="7"/>
  </bookViews>
  <sheets>
    <sheet name="TODO" sheetId="17" state="hidden" r:id="rId1"/>
    <sheet name="uxb_weights" sheetId="14" state="hidden" r:id="rId2"/>
    <sheet name="Ranking_delta" sheetId="19" state="hidden" r:id="rId3"/>
    <sheet name="Ranking" sheetId="4" state="hidden" r:id="rId4"/>
    <sheet name="Summary_orig" sheetId="26" state="hidden" r:id="rId5"/>
    <sheet name="YoY_Rank_Change" sheetId="25" state="hidden" r:id="rId6"/>
    <sheet name="uxb_ranking" sheetId="3" state="hidden" r:id="rId7"/>
    <sheet name="Cover" sheetId="11" r:id="rId8"/>
    <sheet name="Executive_summary" sheetId="13" r:id="rId9"/>
    <sheet name="User_guide" sheetId="29" r:id="rId10"/>
    <sheet name="Summary" sheetId="28" r:id="rId11"/>
    <sheet name="Yoy_Score_Change" sheetId="21" r:id="rId12"/>
    <sheet name="uxb_countries" sheetId="2" state="hidden" r:id="rId13"/>
    <sheet name="uxb_globals" sheetId="5" state="hidden" r:id="rId14"/>
    <sheet name="uxb_scores_2007" sheetId="1" state="hidden" r:id="rId15"/>
    <sheet name="uxb_ranking_orig_only" sheetId="22" state="hidden" r:id="rId16"/>
    <sheet name="uxb_scores_2008" sheetId="18" state="hidden" r:id="rId17"/>
    <sheet name="uxb_correl" sheetId="15" state="hidden" r:id="rId18"/>
    <sheet name="Scatter" sheetId="16" r:id="rId19"/>
    <sheet name="Indicator" sheetId="9" r:id="rId20"/>
    <sheet name="Country_profile" sheetId="10" r:id="rId21"/>
    <sheet name="Comparator" sheetId="12" r:id="rId22"/>
    <sheet name="Weights" sheetId="6" r:id="rId23"/>
    <sheet name="Scores_2008" sheetId="20" state="hidden" r:id="rId24"/>
    <sheet name="Scores_2007" sheetId="8" state="hidden" r:id="rId25"/>
  </sheets>
  <definedNames>
    <definedName name="_xlnm.Print_Area" localSheetId="21">Comparator!$A$1:$N$30</definedName>
    <definedName name="_xlnm.Print_Area" localSheetId="20">Country_profile!$A$1:$K$28</definedName>
    <definedName name="_xlnm.Print_Area" localSheetId="19">Indicator!$A$1:$N$30</definedName>
    <definedName name="_xlnm.Print_Area" localSheetId="3">Ranking!$A$1:$R$23</definedName>
    <definedName name="_xlnm.Print_Area" localSheetId="2">Ranking_delta!$A$1:$AJ$29</definedName>
    <definedName name="_xlnm.Print_Area" localSheetId="18">Scatter!$A$1:$Q$31</definedName>
    <definedName name="_xlnm.Print_Area" localSheetId="24">Scores_2007!$A$1:$W$29</definedName>
    <definedName name="_xlnm.Print_Area" localSheetId="23">Scores_2008!$A$1:$AB$29</definedName>
    <definedName name="_xlnm.Print_Area" localSheetId="10">Summary!$A$1:$AM$29</definedName>
    <definedName name="_xlnm.Print_Area" localSheetId="4">Summary_orig!$A$1:$AF$29</definedName>
    <definedName name="_xlnm.Print_Area" localSheetId="22">Weights!$A$1:$L$30</definedName>
    <definedName name="_xlnm.Print_Area" localSheetId="5">YoY_Rank_Change!$A$1:$AR$25</definedName>
    <definedName name="_xlnm.Print_Area" localSheetId="11">Yoy_Score_Change!$A$1:$AJ$25</definedName>
  </definedNames>
  <calcPr calcId="114210"/>
</workbook>
</file>

<file path=xl/calcChain.xml><?xml version="1.0" encoding="utf-8"?>
<calcChain xmlns="http://schemas.openxmlformats.org/spreadsheetml/2006/main">
  <c r="B8" i="3"/>
  <c r="G6"/>
  <c r="D8"/>
  <c r="E8"/>
  <c r="G12" i="18"/>
  <c r="G13"/>
  <c r="G14"/>
  <c r="G15"/>
  <c r="H12"/>
  <c r="H13"/>
  <c r="I13"/>
  <c r="H14"/>
  <c r="H15"/>
  <c r="I15"/>
  <c r="G17"/>
  <c r="G18"/>
  <c r="G19"/>
  <c r="G20"/>
  <c r="G21"/>
  <c r="G22"/>
  <c r="H17"/>
  <c r="H18"/>
  <c r="I18"/>
  <c r="F18" i="20"/>
  <c r="E18"/>
  <c r="H19" i="18"/>
  <c r="H20"/>
  <c r="I20"/>
  <c r="F20" i="20"/>
  <c r="E20"/>
  <c r="H21" i="18"/>
  <c r="H22"/>
  <c r="I22"/>
  <c r="F22" i="20"/>
  <c r="E22"/>
  <c r="G24" i="18"/>
  <c r="G25"/>
  <c r="G26"/>
  <c r="G4"/>
  <c r="G5"/>
  <c r="G6"/>
  <c r="H4"/>
  <c r="I4"/>
  <c r="F6" i="20"/>
  <c r="E6"/>
  <c r="H6" i="18"/>
  <c r="I6"/>
  <c r="F8" i="20"/>
  <c r="E8"/>
  <c r="B9" i="3"/>
  <c r="D9"/>
  <c r="E9"/>
  <c r="B10"/>
  <c r="D10"/>
  <c r="E10"/>
  <c r="B11"/>
  <c r="D11"/>
  <c r="E11"/>
  <c r="B12"/>
  <c r="D12"/>
  <c r="E12"/>
  <c r="B13"/>
  <c r="D13"/>
  <c r="E13"/>
  <c r="B14"/>
  <c r="D14"/>
  <c r="E14"/>
  <c r="B15"/>
  <c r="D15"/>
  <c r="E15"/>
  <c r="B16"/>
  <c r="D16"/>
  <c r="E16"/>
  <c r="B17"/>
  <c r="D17"/>
  <c r="E17"/>
  <c r="B18"/>
  <c r="D18"/>
  <c r="E18"/>
  <c r="B19"/>
  <c r="D19"/>
  <c r="E19"/>
  <c r="B20"/>
  <c r="D20"/>
  <c r="E20"/>
  <c r="B21"/>
  <c r="D21"/>
  <c r="E21"/>
  <c r="B22"/>
  <c r="D22"/>
  <c r="E22"/>
  <c r="D23"/>
  <c r="E23"/>
  <c r="B24"/>
  <c r="D24"/>
  <c r="E24"/>
  <c r="B25"/>
  <c r="D25"/>
  <c r="E25"/>
  <c r="B26"/>
  <c r="D26"/>
  <c r="E26"/>
  <c r="B27"/>
  <c r="D27"/>
  <c r="E27"/>
  <c r="G12" i="1"/>
  <c r="G13"/>
  <c r="G14"/>
  <c r="G15"/>
  <c r="G17"/>
  <c r="G18"/>
  <c r="G19"/>
  <c r="G20"/>
  <c r="G21"/>
  <c r="G22"/>
  <c r="G24"/>
  <c r="G25"/>
  <c r="G26"/>
  <c r="H24"/>
  <c r="I24"/>
  <c r="G4"/>
  <c r="G5"/>
  <c r="G6"/>
  <c r="H4"/>
  <c r="I4"/>
  <c r="H5"/>
  <c r="H6"/>
  <c r="I6"/>
  <c r="C25" i="3"/>
  <c r="C9"/>
  <c r="C15"/>
  <c r="C16"/>
  <c r="C12"/>
  <c r="C22"/>
  <c r="C17"/>
  <c r="C24"/>
  <c r="C14"/>
  <c r="C21"/>
  <c r="C11"/>
  <c r="C10"/>
  <c r="C8"/>
  <c r="C26"/>
  <c r="C27"/>
  <c r="B8" i="22"/>
  <c r="B8" i="5"/>
  <c r="B2" i="22"/>
  <c r="K5"/>
  <c r="D8"/>
  <c r="E8"/>
  <c r="B9"/>
  <c r="D9"/>
  <c r="E9"/>
  <c r="B10"/>
  <c r="D10"/>
  <c r="E10"/>
  <c r="B11"/>
  <c r="D11"/>
  <c r="E11"/>
  <c r="B12"/>
  <c r="D12"/>
  <c r="E12"/>
  <c r="B13"/>
  <c r="D13"/>
  <c r="E13"/>
  <c r="B14"/>
  <c r="D14"/>
  <c r="E14"/>
  <c r="B15"/>
  <c r="D15"/>
  <c r="E15"/>
  <c r="B16"/>
  <c r="D16"/>
  <c r="E16"/>
  <c r="B17"/>
  <c r="D17"/>
  <c r="E17"/>
  <c r="B18"/>
  <c r="D18"/>
  <c r="E18"/>
  <c r="B19"/>
  <c r="D19"/>
  <c r="E19"/>
  <c r="B20"/>
  <c r="D20"/>
  <c r="E20"/>
  <c r="B21"/>
  <c r="D21"/>
  <c r="E21"/>
  <c r="B22"/>
  <c r="D22"/>
  <c r="E22"/>
  <c r="C20"/>
  <c r="C9"/>
  <c r="C14"/>
  <c r="C15"/>
  <c r="C12"/>
  <c r="C18"/>
  <c r="C16"/>
  <c r="C19"/>
  <c r="C13"/>
  <c r="C17"/>
  <c r="C11"/>
  <c r="C10"/>
  <c r="C8"/>
  <c r="C21"/>
  <c r="C22"/>
  <c r="C20" i="3"/>
  <c r="C18"/>
  <c r="C13"/>
  <c r="C19"/>
  <c r="C23"/>
  <c r="AH3" i="28"/>
  <c r="X3"/>
  <c r="N3"/>
  <c r="AO65" i="3"/>
  <c r="BC65"/>
  <c r="AO66"/>
  <c r="BC66"/>
  <c r="AO67"/>
  <c r="BC67"/>
  <c r="AO68"/>
  <c r="BC68"/>
  <c r="AO60"/>
  <c r="BC60"/>
  <c r="AO61"/>
  <c r="BC61"/>
  <c r="AO62"/>
  <c r="BC62"/>
  <c r="AO63"/>
  <c r="BC63"/>
  <c r="AO64"/>
  <c r="BC64"/>
  <c r="AO45"/>
  <c r="BC45"/>
  <c r="AO46"/>
  <c r="BC46"/>
  <c r="AO47"/>
  <c r="BC47"/>
  <c r="AO48"/>
  <c r="BC48"/>
  <c r="AO49"/>
  <c r="BC49"/>
  <c r="AO50"/>
  <c r="BC50"/>
  <c r="AO51"/>
  <c r="BC51"/>
  <c r="AO52"/>
  <c r="BC52"/>
  <c r="AO53"/>
  <c r="BC53"/>
  <c r="AO54"/>
  <c r="BC54"/>
  <c r="AO55"/>
  <c r="BC55"/>
  <c r="AO56"/>
  <c r="BC56"/>
  <c r="AO57"/>
  <c r="BC57"/>
  <c r="AO58"/>
  <c r="BC58"/>
  <c r="AO59"/>
  <c r="BC59"/>
  <c r="AO44"/>
  <c r="BC44"/>
  <c r="K3" i="26"/>
  <c r="AA3"/>
  <c r="T3"/>
  <c r="AK3" i="25"/>
  <c r="AA3"/>
  <c r="O3"/>
  <c r="O5" i="3"/>
  <c r="P5"/>
  <c r="Q5"/>
  <c r="N5"/>
  <c r="O5" i="22"/>
  <c r="P5"/>
  <c r="Q5"/>
  <c r="N5"/>
  <c r="J6"/>
  <c r="I6"/>
  <c r="H6"/>
  <c r="G6"/>
  <c r="N6"/>
  <c r="EP5"/>
  <c r="FD5"/>
  <c r="FK5"/>
  <c r="FR5"/>
  <c r="X5"/>
  <c r="AE5"/>
  <c r="AL5"/>
  <c r="AS5"/>
  <c r="W5"/>
  <c r="AD5"/>
  <c r="AK5"/>
  <c r="AR5"/>
  <c r="V5"/>
  <c r="AC5"/>
  <c r="AJ5"/>
  <c r="AQ5"/>
  <c r="U5"/>
  <c r="AB5"/>
  <c r="AI5"/>
  <c r="AP5"/>
  <c r="M6" i="21"/>
  <c r="W6"/>
  <c r="AE6"/>
  <c r="M7"/>
  <c r="W7"/>
  <c r="AE7"/>
  <c r="M8"/>
  <c r="W8"/>
  <c r="AE8"/>
  <c r="M9"/>
  <c r="W9"/>
  <c r="AE9"/>
  <c r="M10"/>
  <c r="W10"/>
  <c r="AE10"/>
  <c r="M11"/>
  <c r="W11"/>
  <c r="AE11"/>
  <c r="M12"/>
  <c r="W12"/>
  <c r="AE12"/>
  <c r="M13"/>
  <c r="W13"/>
  <c r="AE13"/>
  <c r="M14"/>
  <c r="W14"/>
  <c r="AE14"/>
  <c r="M15"/>
  <c r="W15"/>
  <c r="AE15"/>
  <c r="M16"/>
  <c r="W16"/>
  <c r="AE16"/>
  <c r="M17"/>
  <c r="W17"/>
  <c r="AE17"/>
  <c r="M18"/>
  <c r="W18"/>
  <c r="AE18"/>
  <c r="M19"/>
  <c r="W19"/>
  <c r="AE19"/>
  <c r="EP5" i="3"/>
  <c r="FD5"/>
  <c r="FK5"/>
  <c r="FR5"/>
  <c r="E19" i="21"/>
  <c r="E18"/>
  <c r="E17"/>
  <c r="E16"/>
  <c r="E15"/>
  <c r="E14"/>
  <c r="E13"/>
  <c r="E12"/>
  <c r="E11"/>
  <c r="E10"/>
  <c r="E9"/>
  <c r="E8"/>
  <c r="E7"/>
  <c r="E6"/>
  <c r="AE5"/>
  <c r="W5"/>
  <c r="M5"/>
  <c r="E5"/>
  <c r="AE4"/>
  <c r="W4"/>
  <c r="M4"/>
  <c r="F26" i="10"/>
  <c r="E26"/>
  <c r="F25"/>
  <c r="E25"/>
  <c r="G25"/>
  <c r="H25"/>
  <c r="F24"/>
  <c r="E24"/>
  <c r="F21"/>
  <c r="E21"/>
  <c r="F20"/>
  <c r="E20"/>
  <c r="F19"/>
  <c r="E19"/>
  <c r="F18"/>
  <c r="E18"/>
  <c r="F17"/>
  <c r="E17"/>
  <c r="G17"/>
  <c r="F16"/>
  <c r="E16"/>
  <c r="G16"/>
  <c r="F13"/>
  <c r="E13"/>
  <c r="G13"/>
  <c r="F12"/>
  <c r="E12"/>
  <c r="F11"/>
  <c r="E11"/>
  <c r="G11"/>
  <c r="F10"/>
  <c r="E10"/>
  <c r="G10"/>
  <c r="J26"/>
  <c r="D26"/>
  <c r="J25"/>
  <c r="D25"/>
  <c r="J24"/>
  <c r="D24"/>
  <c r="D23"/>
  <c r="J21"/>
  <c r="D21"/>
  <c r="J20"/>
  <c r="D20"/>
  <c r="J19"/>
  <c r="D19"/>
  <c r="J18"/>
  <c r="D18"/>
  <c r="J17"/>
  <c r="D17"/>
  <c r="J16"/>
  <c r="D16"/>
  <c r="D15"/>
  <c r="J13"/>
  <c r="D13"/>
  <c r="J12"/>
  <c r="D12"/>
  <c r="J11"/>
  <c r="D11"/>
  <c r="J10"/>
  <c r="D10"/>
  <c r="D9"/>
  <c r="D6"/>
  <c r="D5"/>
  <c r="D4"/>
  <c r="D3"/>
  <c r="L3" i="19"/>
  <c r="R3" i="20"/>
  <c r="S3"/>
  <c r="T3"/>
  <c r="U3"/>
  <c r="V3"/>
  <c r="W3"/>
  <c r="X3"/>
  <c r="Y3"/>
  <c r="Z3"/>
  <c r="AA3"/>
  <c r="R11"/>
  <c r="S11"/>
  <c r="T11"/>
  <c r="U11"/>
  <c r="V11"/>
  <c r="W11"/>
  <c r="X11"/>
  <c r="Y11"/>
  <c r="Z11"/>
  <c r="AA11"/>
  <c r="R12"/>
  <c r="S12"/>
  <c r="T12"/>
  <c r="U12"/>
  <c r="V12"/>
  <c r="W12"/>
  <c r="X12"/>
  <c r="Y12"/>
  <c r="Z12"/>
  <c r="AA12"/>
  <c r="R13"/>
  <c r="S13"/>
  <c r="T13"/>
  <c r="U13"/>
  <c r="V13"/>
  <c r="W13"/>
  <c r="X13"/>
  <c r="Y13"/>
  <c r="Z13"/>
  <c r="AA13"/>
  <c r="R14"/>
  <c r="S14"/>
  <c r="T14"/>
  <c r="U14"/>
  <c r="V14"/>
  <c r="W14"/>
  <c r="X14"/>
  <c r="Y14"/>
  <c r="Z14"/>
  <c r="AA14"/>
  <c r="R17"/>
  <c r="S17"/>
  <c r="T17"/>
  <c r="U17"/>
  <c r="V17"/>
  <c r="W17"/>
  <c r="X17"/>
  <c r="Y17"/>
  <c r="Z17"/>
  <c r="AA17"/>
  <c r="R18"/>
  <c r="S18"/>
  <c r="T18"/>
  <c r="U18"/>
  <c r="V18"/>
  <c r="W18"/>
  <c r="X18"/>
  <c r="Y18"/>
  <c r="Z18"/>
  <c r="AA18"/>
  <c r="R19"/>
  <c r="S19"/>
  <c r="T19"/>
  <c r="U19"/>
  <c r="V19"/>
  <c r="W19"/>
  <c r="X19"/>
  <c r="Y19"/>
  <c r="Z19"/>
  <c r="AA19"/>
  <c r="R20"/>
  <c r="S20"/>
  <c r="T20"/>
  <c r="U20"/>
  <c r="V20"/>
  <c r="W20"/>
  <c r="X20"/>
  <c r="Y20"/>
  <c r="Z20"/>
  <c r="AA20"/>
  <c r="R21"/>
  <c r="S21"/>
  <c r="T21"/>
  <c r="U21"/>
  <c r="V21"/>
  <c r="W21"/>
  <c r="X21"/>
  <c r="Y21"/>
  <c r="Z21"/>
  <c r="AA21"/>
  <c r="R22"/>
  <c r="S22"/>
  <c r="T22"/>
  <c r="U22"/>
  <c r="V22"/>
  <c r="W22"/>
  <c r="X22"/>
  <c r="Y22"/>
  <c r="Z22"/>
  <c r="AA22"/>
  <c r="R25"/>
  <c r="S25"/>
  <c r="T25"/>
  <c r="U25"/>
  <c r="V25"/>
  <c r="W25"/>
  <c r="X25"/>
  <c r="Y25"/>
  <c r="Z25"/>
  <c r="AA25"/>
  <c r="R26"/>
  <c r="S26"/>
  <c r="T26"/>
  <c r="U26"/>
  <c r="V26"/>
  <c r="W26"/>
  <c r="X26"/>
  <c r="Y26"/>
  <c r="Z26"/>
  <c r="AA26"/>
  <c r="R27"/>
  <c r="S27"/>
  <c r="T27"/>
  <c r="U27"/>
  <c r="V27"/>
  <c r="W27"/>
  <c r="X27"/>
  <c r="Y27"/>
  <c r="Z27"/>
  <c r="AA27"/>
  <c r="M11"/>
  <c r="M12"/>
  <c r="M13"/>
  <c r="M14"/>
  <c r="M17"/>
  <c r="M18"/>
  <c r="M19"/>
  <c r="M20"/>
  <c r="M21"/>
  <c r="M22"/>
  <c r="M25"/>
  <c r="M26"/>
  <c r="M27"/>
  <c r="M3"/>
  <c r="Q27"/>
  <c r="P27"/>
  <c r="O27"/>
  <c r="N27"/>
  <c r="L27"/>
  <c r="K27"/>
  <c r="J27"/>
  <c r="I27"/>
  <c r="H27"/>
  <c r="D27"/>
  <c r="C27"/>
  <c r="B27"/>
  <c r="Q26"/>
  <c r="P26"/>
  <c r="O26"/>
  <c r="N26"/>
  <c r="L26"/>
  <c r="K26"/>
  <c r="J26"/>
  <c r="I26"/>
  <c r="H26"/>
  <c r="D26"/>
  <c r="C26"/>
  <c r="B26"/>
  <c r="Q25"/>
  <c r="P25"/>
  <c r="O25"/>
  <c r="N25"/>
  <c r="L25"/>
  <c r="K25"/>
  <c r="J25"/>
  <c r="I25"/>
  <c r="H25"/>
  <c r="D25"/>
  <c r="C25"/>
  <c r="B25"/>
  <c r="D24"/>
  <c r="C24"/>
  <c r="B24"/>
  <c r="Q22"/>
  <c r="P22"/>
  <c r="O22"/>
  <c r="N22"/>
  <c r="L22"/>
  <c r="K22"/>
  <c r="J22"/>
  <c r="I22"/>
  <c r="H22"/>
  <c r="D22"/>
  <c r="C22"/>
  <c r="B22"/>
  <c r="Q21"/>
  <c r="P21"/>
  <c r="O21"/>
  <c r="N21"/>
  <c r="L21"/>
  <c r="K21"/>
  <c r="J21"/>
  <c r="I21"/>
  <c r="H21"/>
  <c r="D21"/>
  <c r="C21"/>
  <c r="B21"/>
  <c r="Q20"/>
  <c r="P20"/>
  <c r="O20"/>
  <c r="N20"/>
  <c r="L20"/>
  <c r="K20"/>
  <c r="J20"/>
  <c r="I20"/>
  <c r="H20"/>
  <c r="D20"/>
  <c r="C20"/>
  <c r="B20"/>
  <c r="Q19"/>
  <c r="P19"/>
  <c r="O19"/>
  <c r="N19"/>
  <c r="L19"/>
  <c r="K19"/>
  <c r="J19"/>
  <c r="I19"/>
  <c r="H19"/>
  <c r="D19"/>
  <c r="C19"/>
  <c r="B19"/>
  <c r="Q18"/>
  <c r="P18"/>
  <c r="O18"/>
  <c r="N18"/>
  <c r="L18"/>
  <c r="K18"/>
  <c r="J18"/>
  <c r="I18"/>
  <c r="H18"/>
  <c r="D18"/>
  <c r="C18"/>
  <c r="B18"/>
  <c r="Q17"/>
  <c r="P17"/>
  <c r="O17"/>
  <c r="N17"/>
  <c r="L17"/>
  <c r="K17"/>
  <c r="J17"/>
  <c r="I17"/>
  <c r="H17"/>
  <c r="D17"/>
  <c r="C17"/>
  <c r="B17"/>
  <c r="D16"/>
  <c r="C16"/>
  <c r="B16"/>
  <c r="Q14"/>
  <c r="P14"/>
  <c r="O14"/>
  <c r="N14"/>
  <c r="L14"/>
  <c r="K14"/>
  <c r="J14"/>
  <c r="I14"/>
  <c r="H14"/>
  <c r="D14"/>
  <c r="C14"/>
  <c r="B14"/>
  <c r="Q13"/>
  <c r="P13"/>
  <c r="O13"/>
  <c r="N13"/>
  <c r="L13"/>
  <c r="K13"/>
  <c r="J13"/>
  <c r="I13"/>
  <c r="H13"/>
  <c r="D13"/>
  <c r="C13"/>
  <c r="B13"/>
  <c r="Q12"/>
  <c r="P12"/>
  <c r="O12"/>
  <c r="N12"/>
  <c r="L12"/>
  <c r="K12"/>
  <c r="J12"/>
  <c r="I12"/>
  <c r="H12"/>
  <c r="D12"/>
  <c r="C12"/>
  <c r="B12"/>
  <c r="Q11"/>
  <c r="P11"/>
  <c r="O11"/>
  <c r="N11"/>
  <c r="L11"/>
  <c r="K11"/>
  <c r="J11"/>
  <c r="I11"/>
  <c r="H11"/>
  <c r="D11"/>
  <c r="C11"/>
  <c r="B11"/>
  <c r="D10"/>
  <c r="C10"/>
  <c r="B10"/>
  <c r="D8"/>
  <c r="C8"/>
  <c r="B8"/>
  <c r="D7"/>
  <c r="C7"/>
  <c r="B7"/>
  <c r="D6"/>
  <c r="C6"/>
  <c r="B6"/>
  <c r="C4"/>
  <c r="B4"/>
  <c r="Q3"/>
  <c r="P3"/>
  <c r="O3"/>
  <c r="N3"/>
  <c r="L3"/>
  <c r="K3"/>
  <c r="J3"/>
  <c r="I3"/>
  <c r="H3"/>
  <c r="X10" i="15"/>
  <c r="X13"/>
  <c r="X14"/>
  <c r="X9"/>
  <c r="B5" i="5"/>
  <c r="A2" i="28"/>
  <c r="B4" i="5"/>
  <c r="B1" i="15"/>
  <c r="AD3" i="19"/>
  <c r="V3"/>
  <c r="D26" i="18"/>
  <c r="D25"/>
  <c r="D24"/>
  <c r="D23"/>
  <c r="D22"/>
  <c r="D21"/>
  <c r="D20"/>
  <c r="D19"/>
  <c r="D18"/>
  <c r="D17"/>
  <c r="D16"/>
  <c r="D15"/>
  <c r="D14"/>
  <c r="D13"/>
  <c r="D12"/>
  <c r="D11"/>
  <c r="I25" i="6"/>
  <c r="I21"/>
  <c r="I22"/>
  <c r="I23"/>
  <c r="I24"/>
  <c r="B40" i="5"/>
  <c r="B3" i="22"/>
  <c r="L5"/>
  <c r="B36" i="5"/>
  <c r="B37"/>
  <c r="C29" i="9"/>
  <c r="B27" i="5"/>
  <c r="B26"/>
  <c r="C39" i="3"/>
  <c r="B25" i="5"/>
  <c r="C33" i="22"/>
  <c r="B18" i="5"/>
  <c r="B24"/>
  <c r="C24"/>
  <c r="J10" i="12"/>
  <c r="B31" i="5"/>
  <c r="B32"/>
  <c r="B33"/>
  <c r="B11"/>
  <c r="L7" i="9"/>
  <c r="B41" i="5"/>
  <c r="B45"/>
  <c r="A10" i="15"/>
  <c r="B10"/>
  <c r="C10"/>
  <c r="C14"/>
  <c r="B46" i="5"/>
  <c r="J2" i="14"/>
  <c r="I2"/>
  <c r="H2"/>
  <c r="G2"/>
  <c r="F2"/>
  <c r="E2"/>
  <c r="D2"/>
  <c r="C25" i="12"/>
  <c r="C17"/>
  <c r="H6" i="3"/>
  <c r="O6"/>
  <c r="I6"/>
  <c r="J6"/>
  <c r="Q6"/>
  <c r="N6"/>
  <c r="C10" i="12"/>
  <c r="I11"/>
  <c r="I12"/>
  <c r="I13"/>
  <c r="I14"/>
  <c r="I17"/>
  <c r="I18"/>
  <c r="I19"/>
  <c r="I20"/>
  <c r="I21"/>
  <c r="I22"/>
  <c r="I23"/>
  <c r="I25"/>
  <c r="I26"/>
  <c r="I27"/>
  <c r="I28"/>
  <c r="I10"/>
  <c r="B12" i="5"/>
  <c r="L15" i="9"/>
  <c r="B9" i="5"/>
  <c r="C3" i="9"/>
  <c r="D11" i="1"/>
  <c r="D16"/>
  <c r="D23"/>
  <c r="D13"/>
  <c r="D14"/>
  <c r="D15"/>
  <c r="D17"/>
  <c r="D18"/>
  <c r="D19"/>
  <c r="D20"/>
  <c r="D21"/>
  <c r="D22"/>
  <c r="D24"/>
  <c r="D25"/>
  <c r="D26"/>
  <c r="D12"/>
  <c r="B6" i="8"/>
  <c r="C6"/>
  <c r="D6"/>
  <c r="B7"/>
  <c r="C7"/>
  <c r="D7"/>
  <c r="B8"/>
  <c r="C8"/>
  <c r="D8"/>
  <c r="I3"/>
  <c r="J3"/>
  <c r="K3"/>
  <c r="L3"/>
  <c r="M3"/>
  <c r="N3"/>
  <c r="O3"/>
  <c r="P3"/>
  <c r="Q3"/>
  <c r="R3"/>
  <c r="S3"/>
  <c r="T3"/>
  <c r="U3"/>
  <c r="V3"/>
  <c r="H3"/>
  <c r="C4"/>
  <c r="B4"/>
  <c r="I11"/>
  <c r="J11"/>
  <c r="K11"/>
  <c r="L11"/>
  <c r="M11"/>
  <c r="N11"/>
  <c r="O11"/>
  <c r="P11"/>
  <c r="Q11"/>
  <c r="R11"/>
  <c r="S11"/>
  <c r="T11"/>
  <c r="U11"/>
  <c r="V11"/>
  <c r="I12"/>
  <c r="J12"/>
  <c r="K12"/>
  <c r="L12"/>
  <c r="M12"/>
  <c r="N12"/>
  <c r="O12"/>
  <c r="P12"/>
  <c r="Q12"/>
  <c r="R12"/>
  <c r="S12"/>
  <c r="T12"/>
  <c r="U12"/>
  <c r="V12"/>
  <c r="I13"/>
  <c r="J13"/>
  <c r="K13"/>
  <c r="L13"/>
  <c r="M13"/>
  <c r="N13"/>
  <c r="O13"/>
  <c r="P13"/>
  <c r="Q13"/>
  <c r="R13"/>
  <c r="S13"/>
  <c r="T13"/>
  <c r="U13"/>
  <c r="V13"/>
  <c r="I14"/>
  <c r="J14"/>
  <c r="K14"/>
  <c r="L14"/>
  <c r="M14"/>
  <c r="N14"/>
  <c r="O14"/>
  <c r="P14"/>
  <c r="Q14"/>
  <c r="R14"/>
  <c r="S14"/>
  <c r="T14"/>
  <c r="U14"/>
  <c r="V14"/>
  <c r="I17"/>
  <c r="J17"/>
  <c r="K17"/>
  <c r="L17"/>
  <c r="M17"/>
  <c r="N17"/>
  <c r="O17"/>
  <c r="P17"/>
  <c r="Q17"/>
  <c r="R17"/>
  <c r="S17"/>
  <c r="T17"/>
  <c r="U17"/>
  <c r="V17"/>
  <c r="I18"/>
  <c r="J18"/>
  <c r="K18"/>
  <c r="L18"/>
  <c r="M18"/>
  <c r="N18"/>
  <c r="O18"/>
  <c r="P18"/>
  <c r="Q18"/>
  <c r="R18"/>
  <c r="S18"/>
  <c r="T18"/>
  <c r="U18"/>
  <c r="V18"/>
  <c r="I19"/>
  <c r="J19"/>
  <c r="K19"/>
  <c r="L19"/>
  <c r="M19"/>
  <c r="N19"/>
  <c r="O19"/>
  <c r="P19"/>
  <c r="Q19"/>
  <c r="R19"/>
  <c r="S19"/>
  <c r="T19"/>
  <c r="U19"/>
  <c r="V19"/>
  <c r="I20"/>
  <c r="J20"/>
  <c r="K20"/>
  <c r="L20"/>
  <c r="M20"/>
  <c r="N20"/>
  <c r="O20"/>
  <c r="P20"/>
  <c r="Q20"/>
  <c r="R20"/>
  <c r="S20"/>
  <c r="T20"/>
  <c r="U20"/>
  <c r="V20"/>
  <c r="I21"/>
  <c r="J21"/>
  <c r="K21"/>
  <c r="L21"/>
  <c r="M21"/>
  <c r="N21"/>
  <c r="O21"/>
  <c r="P21"/>
  <c r="Q21"/>
  <c r="R21"/>
  <c r="S21"/>
  <c r="T21"/>
  <c r="U21"/>
  <c r="V21"/>
  <c r="I22"/>
  <c r="J22"/>
  <c r="K22"/>
  <c r="L22"/>
  <c r="M22"/>
  <c r="N22"/>
  <c r="O22"/>
  <c r="P22"/>
  <c r="Q22"/>
  <c r="R22"/>
  <c r="S22"/>
  <c r="T22"/>
  <c r="U22"/>
  <c r="V22"/>
  <c r="I25"/>
  <c r="J25"/>
  <c r="K25"/>
  <c r="L25"/>
  <c r="M25"/>
  <c r="N25"/>
  <c r="O25"/>
  <c r="P25"/>
  <c r="Q25"/>
  <c r="R25"/>
  <c r="S25"/>
  <c r="T25"/>
  <c r="U25"/>
  <c r="V25"/>
  <c r="I26"/>
  <c r="J26"/>
  <c r="K26"/>
  <c r="L26"/>
  <c r="M26"/>
  <c r="N26"/>
  <c r="O26"/>
  <c r="P26"/>
  <c r="Q26"/>
  <c r="R26"/>
  <c r="S26"/>
  <c r="T26"/>
  <c r="U26"/>
  <c r="V26"/>
  <c r="I27"/>
  <c r="J27"/>
  <c r="K27"/>
  <c r="L27"/>
  <c r="M27"/>
  <c r="N27"/>
  <c r="O27"/>
  <c r="P27"/>
  <c r="Q27"/>
  <c r="R27"/>
  <c r="S27"/>
  <c r="T27"/>
  <c r="U27"/>
  <c r="V27"/>
  <c r="C24"/>
  <c r="D24"/>
  <c r="B24"/>
  <c r="C16"/>
  <c r="D16"/>
  <c r="B16"/>
  <c r="B12"/>
  <c r="C12"/>
  <c r="D12"/>
  <c r="H12"/>
  <c r="B13"/>
  <c r="C13"/>
  <c r="D13"/>
  <c r="H13"/>
  <c r="B14"/>
  <c r="C14"/>
  <c r="D14"/>
  <c r="H14"/>
  <c r="B17"/>
  <c r="C17"/>
  <c r="D17"/>
  <c r="H17"/>
  <c r="B18"/>
  <c r="C18"/>
  <c r="D18"/>
  <c r="H18"/>
  <c r="B19"/>
  <c r="C19"/>
  <c r="D19"/>
  <c r="H19"/>
  <c r="B20"/>
  <c r="C20"/>
  <c r="D20"/>
  <c r="H20"/>
  <c r="B21"/>
  <c r="C21"/>
  <c r="D21"/>
  <c r="H21"/>
  <c r="B22"/>
  <c r="C22"/>
  <c r="D22"/>
  <c r="H22"/>
  <c r="B25"/>
  <c r="C25"/>
  <c r="D25"/>
  <c r="H25"/>
  <c r="B26"/>
  <c r="C26"/>
  <c r="D26"/>
  <c r="H26"/>
  <c r="B27"/>
  <c r="C27"/>
  <c r="D27"/>
  <c r="H27"/>
  <c r="H11"/>
  <c r="C11"/>
  <c r="D11"/>
  <c r="B11"/>
  <c r="C10"/>
  <c r="D10"/>
  <c r="B10"/>
  <c r="I7" i="6"/>
  <c r="I8"/>
  <c r="I9"/>
  <c r="I10"/>
  <c r="I11"/>
  <c r="I12"/>
  <c r="I13"/>
  <c r="I14"/>
  <c r="I15"/>
  <c r="I16"/>
  <c r="I17"/>
  <c r="I18"/>
  <c r="I19"/>
  <c r="I20"/>
  <c r="I6"/>
  <c r="B27"/>
  <c r="B28"/>
  <c r="B26"/>
  <c r="B20"/>
  <c r="B21"/>
  <c r="B22"/>
  <c r="B23"/>
  <c r="B24"/>
  <c r="B19"/>
  <c r="B15"/>
  <c r="B16"/>
  <c r="B17"/>
  <c r="B14"/>
  <c r="B9"/>
  <c r="B25"/>
  <c r="B8"/>
  <c r="B18"/>
  <c r="B7"/>
  <c r="B13"/>
  <c r="O3" i="4"/>
  <c r="K3"/>
  <c r="G3"/>
  <c r="V5" i="3"/>
  <c r="AC5"/>
  <c r="AJ5"/>
  <c r="AQ5"/>
  <c r="W5"/>
  <c r="AD5"/>
  <c r="AK5"/>
  <c r="AR5"/>
  <c r="AY5"/>
  <c r="BF5"/>
  <c r="X5"/>
  <c r="AE5"/>
  <c r="AL5"/>
  <c r="AS5"/>
  <c r="U5"/>
  <c r="AB5"/>
  <c r="AI5"/>
  <c r="AP5"/>
  <c r="B10" i="5"/>
  <c r="D10"/>
  <c r="C4" i="9"/>
  <c r="C25" i="5"/>
  <c r="K10" i="12"/>
  <c r="C38" i="3"/>
  <c r="C27" i="5"/>
  <c r="M10" i="12"/>
  <c r="A2" i="19"/>
  <c r="D34" i="22"/>
  <c r="E34"/>
  <c r="D39" i="3"/>
  <c r="E39"/>
  <c r="BM5"/>
  <c r="BT5"/>
  <c r="CA5"/>
  <c r="CH5"/>
  <c r="CO5"/>
  <c r="CV5"/>
  <c r="DC5"/>
  <c r="DJ5"/>
  <c r="DQ5"/>
  <c r="DX5"/>
  <c r="EE5"/>
  <c r="EL5"/>
  <c r="B30" i="5"/>
  <c r="D32" i="22"/>
  <c r="E32"/>
  <c r="Q6"/>
  <c r="A2" i="25"/>
  <c r="C32" i="22"/>
  <c r="BL5" i="3"/>
  <c r="BS5"/>
  <c r="BZ5"/>
  <c r="CG5"/>
  <c r="CN5"/>
  <c r="CU5"/>
  <c r="DB5"/>
  <c r="DI5"/>
  <c r="DP5"/>
  <c r="DW5"/>
  <c r="ED5"/>
  <c r="EK5"/>
  <c r="AX5"/>
  <c r="BE5"/>
  <c r="B3"/>
  <c r="L5"/>
  <c r="EY5"/>
  <c r="FF5"/>
  <c r="FM5"/>
  <c r="FT5"/>
  <c r="ER5"/>
  <c r="H24" i="18"/>
  <c r="I24"/>
  <c r="F25" i="20"/>
  <c r="E25"/>
  <c r="I21" i="18"/>
  <c r="F21" i="20"/>
  <c r="E21"/>
  <c r="I19" i="18"/>
  <c r="F19" i="20"/>
  <c r="E19"/>
  <c r="I17" i="18"/>
  <c r="F17" i="20"/>
  <c r="E17"/>
  <c r="I14" i="18"/>
  <c r="F13" i="20"/>
  <c r="E13"/>
  <c r="I12" i="18"/>
  <c r="F11" i="20"/>
  <c r="E11"/>
  <c r="G6" i="9"/>
  <c r="I5" i="1"/>
  <c r="G19" i="10"/>
  <c r="H19"/>
  <c r="EZ5" i="3"/>
  <c r="FG5"/>
  <c r="FN5"/>
  <c r="FU5"/>
  <c r="ES5"/>
  <c r="AW5"/>
  <c r="BD5"/>
  <c r="BK5"/>
  <c r="BR5"/>
  <c r="BY5"/>
  <c r="CF5"/>
  <c r="CM5"/>
  <c r="CT5"/>
  <c r="DA5"/>
  <c r="DH5"/>
  <c r="DO5"/>
  <c r="DV5"/>
  <c r="EC5"/>
  <c r="EJ5"/>
  <c r="BL5" i="22"/>
  <c r="BS5"/>
  <c r="BZ5"/>
  <c r="CG5"/>
  <c r="CN5"/>
  <c r="CU5"/>
  <c r="DB5"/>
  <c r="DI5"/>
  <c r="DP5"/>
  <c r="DW5"/>
  <c r="ED5"/>
  <c r="EK5"/>
  <c r="AX5"/>
  <c r="BE5"/>
  <c r="BN5"/>
  <c r="BU5"/>
  <c r="CB5"/>
  <c r="CI5"/>
  <c r="CP5"/>
  <c r="CW5"/>
  <c r="DD5"/>
  <c r="DK5"/>
  <c r="DR5"/>
  <c r="DY5"/>
  <c r="EF5"/>
  <c r="EM5"/>
  <c r="AZ5"/>
  <c r="BG5"/>
  <c r="BN5" i="3"/>
  <c r="BU5"/>
  <c r="CB5"/>
  <c r="CI5"/>
  <c r="CP5"/>
  <c r="CW5"/>
  <c r="DD5"/>
  <c r="DK5"/>
  <c r="DR5"/>
  <c r="DY5"/>
  <c r="EF5"/>
  <c r="EM5"/>
  <c r="AZ5"/>
  <c r="BG5"/>
  <c r="BK5" i="22"/>
  <c r="BR5"/>
  <c r="BY5"/>
  <c r="CF5"/>
  <c r="CM5"/>
  <c r="CT5"/>
  <c r="DA5"/>
  <c r="DH5"/>
  <c r="DO5"/>
  <c r="DV5"/>
  <c r="EC5"/>
  <c r="EJ5"/>
  <c r="AW5"/>
  <c r="BD5"/>
  <c r="BM5"/>
  <c r="BT5"/>
  <c r="CA5"/>
  <c r="CH5"/>
  <c r="CO5"/>
  <c r="CV5"/>
  <c r="DC5"/>
  <c r="DJ5"/>
  <c r="DQ5"/>
  <c r="DX5"/>
  <c r="EE5"/>
  <c r="EL5"/>
  <c r="AY5"/>
  <c r="BF5"/>
  <c r="D40" i="3"/>
  <c r="E40"/>
  <c r="D35" i="22"/>
  <c r="E35"/>
  <c r="C37" i="3"/>
  <c r="C35" i="22"/>
  <c r="C40" i="3"/>
  <c r="A2" i="9"/>
  <c r="A2" i="21"/>
  <c r="A1" i="10"/>
  <c r="O6" i="22"/>
  <c r="H25" i="1"/>
  <c r="I25"/>
  <c r="F12" i="20"/>
  <c r="E12"/>
  <c r="P6" i="3"/>
  <c r="D33" i="22"/>
  <c r="E33"/>
  <c r="D38" i="3"/>
  <c r="E38"/>
  <c r="C26" i="5"/>
  <c r="L10" i="12"/>
  <c r="C34" i="22"/>
  <c r="P6"/>
  <c r="H17" i="1"/>
  <c r="I17"/>
  <c r="H18"/>
  <c r="I18"/>
  <c r="H19"/>
  <c r="I19"/>
  <c r="H20"/>
  <c r="I20"/>
  <c r="H21"/>
  <c r="I21"/>
  <c r="H22"/>
  <c r="I22"/>
  <c r="H12"/>
  <c r="I12"/>
  <c r="H13"/>
  <c r="I13"/>
  <c r="H14"/>
  <c r="I14"/>
  <c r="H15"/>
  <c r="I15"/>
  <c r="B35" i="5"/>
  <c r="H26" i="1"/>
  <c r="I26"/>
  <c r="F27" i="8"/>
  <c r="H26" i="18"/>
  <c r="I26"/>
  <c r="F27" i="20"/>
  <c r="E27"/>
  <c r="H25" i="18"/>
  <c r="I25"/>
  <c r="F7" i="8"/>
  <c r="E7"/>
  <c r="D8" i="6"/>
  <c r="F8"/>
  <c r="EZ5" i="22"/>
  <c r="FG5"/>
  <c r="FN5"/>
  <c r="FU5"/>
  <c r="ES5"/>
  <c r="EX5"/>
  <c r="FE5"/>
  <c r="FL5"/>
  <c r="FS5"/>
  <c r="EQ5"/>
  <c r="FA5" i="3"/>
  <c r="FH5"/>
  <c r="FO5"/>
  <c r="FV5"/>
  <c r="ET5"/>
  <c r="EX5"/>
  <c r="FE5"/>
  <c r="FL5"/>
  <c r="FS5"/>
  <c r="EQ5"/>
  <c r="F26" i="20"/>
  <c r="E26"/>
  <c r="AB5" i="18"/>
  <c r="E27" i="8"/>
  <c r="K4" i="1"/>
  <c r="Q4"/>
  <c r="R4"/>
  <c r="N4"/>
  <c r="X4"/>
  <c r="S4"/>
  <c r="Z4"/>
  <c r="P4"/>
  <c r="W4"/>
  <c r="M4"/>
  <c r="L4"/>
  <c r="J4"/>
  <c r="AB5"/>
  <c r="AC6"/>
  <c r="K5"/>
  <c r="X5"/>
  <c r="W5"/>
  <c r="AB4"/>
  <c r="J5"/>
  <c r="AA5"/>
  <c r="N5"/>
  <c r="P5"/>
  <c r="D14" i="6"/>
  <c r="F14"/>
  <c r="F11" i="8"/>
  <c r="E11"/>
  <c r="D23" i="6"/>
  <c r="F23"/>
  <c r="F21" i="8"/>
  <c r="E21"/>
  <c r="F19"/>
  <c r="E19"/>
  <c r="D21" i="6"/>
  <c r="F21"/>
  <c r="F17" i="8"/>
  <c r="E17"/>
  <c r="D19" i="6"/>
  <c r="F19"/>
  <c r="L14" i="12"/>
  <c r="L18"/>
  <c r="L22"/>
  <c r="L17"/>
  <c r="L25"/>
  <c r="L27"/>
  <c r="L13"/>
  <c r="L26"/>
  <c r="L21"/>
  <c r="J28"/>
  <c r="J22"/>
  <c r="J18"/>
  <c r="J11"/>
  <c r="J27"/>
  <c r="J21"/>
  <c r="J14"/>
  <c r="J17"/>
  <c r="J20"/>
  <c r="J25"/>
  <c r="J19"/>
  <c r="J26"/>
  <c r="J13"/>
  <c r="J23"/>
  <c r="J12"/>
  <c r="FA5" i="22"/>
  <c r="FH5"/>
  <c r="FO5"/>
  <c r="FV5"/>
  <c r="ET5"/>
  <c r="EY5"/>
  <c r="FF5"/>
  <c r="FM5"/>
  <c r="FT5"/>
  <c r="ER5"/>
  <c r="K4" i="18"/>
  <c r="AC6"/>
  <c r="AB6"/>
  <c r="AA6"/>
  <c r="Z6"/>
  <c r="Y6"/>
  <c r="X5"/>
  <c r="V5"/>
  <c r="T5"/>
  <c r="R6"/>
  <c r="Q5"/>
  <c r="O5"/>
  <c r="M5"/>
  <c r="K5"/>
  <c r="J4"/>
  <c r="I38" i="3"/>
  <c r="AA5" i="18"/>
  <c r="X6"/>
  <c r="V6"/>
  <c r="T6"/>
  <c r="Q4"/>
  <c r="O4"/>
  <c r="M4"/>
  <c r="K6"/>
  <c r="J6"/>
  <c r="AC4"/>
  <c r="AB4"/>
  <c r="AA4"/>
  <c r="Z4"/>
  <c r="Y4"/>
  <c r="W5"/>
  <c r="U5"/>
  <c r="S5"/>
  <c r="I35" i="22"/>
  <c r="R4" i="18"/>
  <c r="P5"/>
  <c r="N5"/>
  <c r="L5"/>
  <c r="J5"/>
  <c r="AC5"/>
  <c r="Y5"/>
  <c r="W4"/>
  <c r="U4"/>
  <c r="S4"/>
  <c r="H40" i="3"/>
  <c r="P6" i="18"/>
  <c r="N6"/>
  <c r="L6"/>
  <c r="J24" i="20"/>
  <c r="J10" i="22"/>
  <c r="J8" i="20"/>
  <c r="L4" i="18"/>
  <c r="H5"/>
  <c r="I5"/>
  <c r="L3"/>
  <c r="F10" i="15"/>
  <c r="J10" i="3"/>
  <c r="J13" i="22"/>
  <c r="N8" i="20"/>
  <c r="E6" i="10"/>
  <c r="E23"/>
  <c r="J32" i="22"/>
  <c r="N24" i="20"/>
  <c r="P4" i="18"/>
  <c r="P3"/>
  <c r="J10" i="15"/>
  <c r="Q6" i="18"/>
  <c r="Q3"/>
  <c r="K10" i="15"/>
  <c r="Y3" i="18"/>
  <c r="S10" i="15"/>
  <c r="J3" i="18"/>
  <c r="D10" i="15"/>
  <c r="W6" i="18"/>
  <c r="W3"/>
  <c r="Q10" i="15"/>
  <c r="X4" i="18"/>
  <c r="X3"/>
  <c r="R10" i="15"/>
  <c r="K3" i="18"/>
  <c r="E10" i="15"/>
  <c r="M6" i="18"/>
  <c r="M3"/>
  <c r="G10" i="15"/>
  <c r="N4" i="18"/>
  <c r="N3"/>
  <c r="H10" i="15"/>
  <c r="O6" i="18"/>
  <c r="O3"/>
  <c r="I10" i="15"/>
  <c r="R5" i="18"/>
  <c r="R3"/>
  <c r="L10" i="15"/>
  <c r="S6" i="18"/>
  <c r="S3"/>
  <c r="M10" i="15"/>
  <c r="T4" i="18"/>
  <c r="T3"/>
  <c r="N10" i="15"/>
  <c r="U6" i="18"/>
  <c r="U3"/>
  <c r="O10" i="15"/>
  <c r="V4" i="18"/>
  <c r="V3"/>
  <c r="P10" i="15"/>
  <c r="Z5" i="18"/>
  <c r="Z3"/>
  <c r="T10" i="15"/>
  <c r="AA3" i="18"/>
  <c r="U10" i="15"/>
  <c r="AB3" i="18"/>
  <c r="V10" i="15"/>
  <c r="AC3" i="18"/>
  <c r="W10" i="15"/>
  <c r="B4"/>
  <c r="J14" i="3"/>
  <c r="S10" i="20"/>
  <c r="S6"/>
  <c r="H19" i="3"/>
  <c r="W16" i="20"/>
  <c r="W7"/>
  <c r="I23" i="3"/>
  <c r="H16" i="20"/>
  <c r="H7"/>
  <c r="I8" i="22"/>
  <c r="I8" i="3"/>
  <c r="L7" i="20"/>
  <c r="L16"/>
  <c r="I12" i="3"/>
  <c r="I12" i="22"/>
  <c r="P10" i="20"/>
  <c r="H15" i="22"/>
  <c r="P6" i="20"/>
  <c r="H16" i="3"/>
  <c r="S16" i="20"/>
  <c r="S7"/>
  <c r="I19" i="3"/>
  <c r="W10" i="20"/>
  <c r="W6"/>
  <c r="H23" i="3"/>
  <c r="Y6" i="20"/>
  <c r="H20" i="22"/>
  <c r="Y10" i="20"/>
  <c r="H25" i="3"/>
  <c r="AA6" i="20"/>
  <c r="AA10"/>
  <c r="H27" i="3"/>
  <c r="H22" i="22"/>
  <c r="J9"/>
  <c r="I24" i="20"/>
  <c r="I8"/>
  <c r="J9" i="3"/>
  <c r="M10" i="20"/>
  <c r="M6"/>
  <c r="H13" i="3"/>
  <c r="R8" i="20"/>
  <c r="R24"/>
  <c r="J18" i="3"/>
  <c r="V8" i="20"/>
  <c r="J18" i="22"/>
  <c r="V24" i="20"/>
  <c r="J22" i="3"/>
  <c r="H10" i="20"/>
  <c r="H8" i="22"/>
  <c r="H6" i="20"/>
  <c r="H8" i="3"/>
  <c r="K16" i="20"/>
  <c r="I11" i="22"/>
  <c r="K7" i="20"/>
  <c r="I11" i="3"/>
  <c r="I14" i="22"/>
  <c r="O7" i="20"/>
  <c r="I39" i="3"/>
  <c r="O16" i="20"/>
  <c r="I15" i="3"/>
  <c r="I34" i="22"/>
  <c r="R7" i="20"/>
  <c r="R16"/>
  <c r="I18" i="3"/>
  <c r="V16" i="20"/>
  <c r="V7"/>
  <c r="I22" i="3"/>
  <c r="I18" i="22"/>
  <c r="J19"/>
  <c r="X24" i="20"/>
  <c r="X8"/>
  <c r="J24" i="3"/>
  <c r="J21" i="22"/>
  <c r="Z24" i="20"/>
  <c r="Z8"/>
  <c r="J26" i="3"/>
  <c r="I10" i="20"/>
  <c r="H9" i="22"/>
  <c r="I6" i="20"/>
  <c r="H9" i="3"/>
  <c r="L8" i="20"/>
  <c r="J12" i="22"/>
  <c r="L24" i="20"/>
  <c r="J12" i="3"/>
  <c r="Q6" i="20"/>
  <c r="H16" i="22"/>
  <c r="Q10" i="20"/>
  <c r="H17" i="3"/>
  <c r="U6" i="20"/>
  <c r="H17" i="22"/>
  <c r="U10" i="20"/>
  <c r="H21" i="3"/>
  <c r="AA7" i="20"/>
  <c r="AA16"/>
  <c r="I27" i="3"/>
  <c r="I22" i="22"/>
  <c r="J16" i="20"/>
  <c r="J7"/>
  <c r="I10" i="3"/>
  <c r="I10" i="22"/>
  <c r="N16" i="20"/>
  <c r="I32" i="22"/>
  <c r="E5" i="10"/>
  <c r="J5"/>
  <c r="N7" i="20"/>
  <c r="I14" i="3"/>
  <c r="I13" i="22"/>
  <c r="Q7" i="20"/>
  <c r="I16" i="22"/>
  <c r="Q16" i="20"/>
  <c r="I17" i="3"/>
  <c r="I40"/>
  <c r="U16" i="20"/>
  <c r="U7"/>
  <c r="I21" i="3"/>
  <c r="I17" i="22"/>
  <c r="X6" i="20"/>
  <c r="X10"/>
  <c r="H24" i="3"/>
  <c r="H19" i="22"/>
  <c r="Z10" i="20"/>
  <c r="H21" i="22"/>
  <c r="Z6" i="20"/>
  <c r="H26" i="3"/>
  <c r="H24" i="20"/>
  <c r="H8"/>
  <c r="J8" i="3"/>
  <c r="J8" i="22"/>
  <c r="K6" i="20"/>
  <c r="H11" i="22"/>
  <c r="H11" i="3"/>
  <c r="K10" i="20"/>
  <c r="O10"/>
  <c r="O6"/>
  <c r="H15" i="3"/>
  <c r="H34" i="22"/>
  <c r="H39" i="3"/>
  <c r="H14" i="22"/>
  <c r="T8" i="20"/>
  <c r="T24"/>
  <c r="J20" i="3"/>
  <c r="Y16" i="20"/>
  <c r="Y7"/>
  <c r="I25" i="3"/>
  <c r="I20" i="22"/>
  <c r="I16" i="20"/>
  <c r="I9" i="22"/>
  <c r="I7" i="20"/>
  <c r="I9" i="3"/>
  <c r="M7" i="20"/>
  <c r="M16"/>
  <c r="I13" i="3"/>
  <c r="J15" i="22"/>
  <c r="P8" i="20"/>
  <c r="P24"/>
  <c r="J16" i="3"/>
  <c r="T16" i="20"/>
  <c r="T7"/>
  <c r="I20" i="3"/>
  <c r="W8" i="20"/>
  <c r="W24"/>
  <c r="J23" i="3"/>
  <c r="Y24" i="20"/>
  <c r="Y8"/>
  <c r="J20" i="22"/>
  <c r="J25" i="3"/>
  <c r="AA24" i="20"/>
  <c r="J22" i="22"/>
  <c r="AA8" i="20"/>
  <c r="J27" i="3"/>
  <c r="AC5" i="1"/>
  <c r="F5" i="10"/>
  <c r="G5"/>
  <c r="H5"/>
  <c r="F15"/>
  <c r="M7" i="8"/>
  <c r="P13" i="22"/>
  <c r="M16" i="8"/>
  <c r="L16"/>
  <c r="L7"/>
  <c r="P12" i="22"/>
  <c r="T7" i="8"/>
  <c r="P20" i="22"/>
  <c r="T16" i="8"/>
  <c r="H7"/>
  <c r="H16"/>
  <c r="P8" i="22"/>
  <c r="U10" i="8"/>
  <c r="O21" i="22"/>
  <c r="U6" i="8"/>
  <c r="Q16"/>
  <c r="P17" i="22"/>
  <c r="Q7" i="8"/>
  <c r="R7"/>
  <c r="R16"/>
  <c r="P18" i="22"/>
  <c r="I7" i="8"/>
  <c r="I16"/>
  <c r="P9" i="22"/>
  <c r="V24" i="8"/>
  <c r="Q22" i="22"/>
  <c r="V8" i="8"/>
  <c r="U7"/>
  <c r="P21" i="22"/>
  <c r="U16" i="8"/>
  <c r="H10"/>
  <c r="O8" i="22"/>
  <c r="H6" i="8"/>
  <c r="J6"/>
  <c r="O10" i="22"/>
  <c r="J10" i="8"/>
  <c r="K10"/>
  <c r="K6"/>
  <c r="O11" i="22"/>
  <c r="Q10" i="8"/>
  <c r="Q6"/>
  <c r="O17" i="22"/>
  <c r="AC4" i="1"/>
  <c r="AA4"/>
  <c r="F4" i="10"/>
  <c r="F9"/>
  <c r="M10" i="8"/>
  <c r="O13" i="22"/>
  <c r="M6" i="8"/>
  <c r="S10"/>
  <c r="S6"/>
  <c r="O19" i="22"/>
  <c r="P6" i="8"/>
  <c r="O16" i="22"/>
  <c r="P10" i="8"/>
  <c r="R10"/>
  <c r="R6"/>
  <c r="O18" i="22"/>
  <c r="L10" i="8"/>
  <c r="O12" i="22"/>
  <c r="L6" i="8"/>
  <c r="O6"/>
  <c r="O10"/>
  <c r="O15" i="22"/>
  <c r="N6" i="8"/>
  <c r="O14" i="22"/>
  <c r="N10" i="8"/>
  <c r="I6"/>
  <c r="O9" i="22"/>
  <c r="I10" i="8"/>
  <c r="Z16" i="20"/>
  <c r="Z7"/>
  <c r="I26" i="3"/>
  <c r="I21" i="22"/>
  <c r="H38" i="3"/>
  <c r="H35" i="22"/>
  <c r="I33"/>
  <c r="H33"/>
  <c r="J6" i="10"/>
  <c r="E15"/>
  <c r="G20"/>
  <c r="H20"/>
  <c r="G21"/>
  <c r="H21"/>
  <c r="G24"/>
  <c r="H24"/>
  <c r="G26"/>
  <c r="H26"/>
  <c r="W32" i="22"/>
  <c r="G15" i="10"/>
  <c r="H15"/>
  <c r="W33" i="22"/>
  <c r="W34"/>
  <c r="W35"/>
  <c r="AD34"/>
  <c r="AK34"/>
  <c r="AR34"/>
  <c r="BM34"/>
  <c r="AD35"/>
  <c r="AK35"/>
  <c r="AR35"/>
  <c r="BM35"/>
  <c r="F13" i="8"/>
  <c r="E13"/>
  <c r="D16" i="6"/>
  <c r="F16"/>
  <c r="AA6" i="1"/>
  <c r="K6"/>
  <c r="Q6"/>
  <c r="R6"/>
  <c r="N6"/>
  <c r="X6"/>
  <c r="S6"/>
  <c r="Z6"/>
  <c r="P6"/>
  <c r="W6"/>
  <c r="M6"/>
  <c r="L6"/>
  <c r="J6"/>
  <c r="R5"/>
  <c r="Z5"/>
  <c r="M5"/>
  <c r="L5"/>
  <c r="Q5"/>
  <c r="S5"/>
  <c r="AB6"/>
  <c r="D27" i="6"/>
  <c r="F27"/>
  <c r="F26" i="8"/>
  <c r="E26"/>
  <c r="L6" i="22"/>
  <c r="Z5"/>
  <c r="AG5"/>
  <c r="AN5"/>
  <c r="AU5"/>
  <c r="S5"/>
  <c r="Y5"/>
  <c r="AF5"/>
  <c r="AM5"/>
  <c r="AT5"/>
  <c r="K6"/>
  <c r="R5"/>
  <c r="F6" i="8"/>
  <c r="E6"/>
  <c r="D7" i="6"/>
  <c r="F7"/>
  <c r="F14" i="20"/>
  <c r="E14"/>
  <c r="F14" i="8"/>
  <c r="E14"/>
  <c r="D17" i="6"/>
  <c r="F17"/>
  <c r="F12" i="8"/>
  <c r="E12"/>
  <c r="D15" i="6"/>
  <c r="F15"/>
  <c r="D24"/>
  <c r="F24"/>
  <c r="F22" i="8"/>
  <c r="E22"/>
  <c r="F20"/>
  <c r="E20"/>
  <c r="D22" i="6"/>
  <c r="F22"/>
  <c r="D20"/>
  <c r="F20"/>
  <c r="F18" i="8"/>
  <c r="E18"/>
  <c r="L28" i="12"/>
  <c r="L23"/>
  <c r="L19"/>
  <c r="L11"/>
  <c r="L20"/>
  <c r="L12"/>
  <c r="Z5" i="3"/>
  <c r="AG5"/>
  <c r="AN5"/>
  <c r="AU5"/>
  <c r="L6"/>
  <c r="S5"/>
  <c r="M11" i="12"/>
  <c r="M22"/>
  <c r="M19"/>
  <c r="M12"/>
  <c r="M17"/>
  <c r="M25"/>
  <c r="M26"/>
  <c r="M14"/>
  <c r="M28"/>
  <c r="M13"/>
  <c r="M27"/>
  <c r="M21"/>
  <c r="M20"/>
  <c r="M18"/>
  <c r="M23"/>
  <c r="K11"/>
  <c r="K28"/>
  <c r="K12"/>
  <c r="K17"/>
  <c r="K27"/>
  <c r="K25"/>
  <c r="K20"/>
  <c r="K26"/>
  <c r="K22"/>
  <c r="K23"/>
  <c r="K21"/>
  <c r="K18"/>
  <c r="K14"/>
  <c r="K13"/>
  <c r="K19"/>
  <c r="F8" i="8"/>
  <c r="E8"/>
  <c r="D9" i="6"/>
  <c r="F9"/>
  <c r="F25" i="8"/>
  <c r="E25"/>
  <c r="D26" i="6"/>
  <c r="F26"/>
  <c r="C28" i="9"/>
  <c r="B2" i="3"/>
  <c r="K5"/>
  <c r="D28" i="6"/>
  <c r="F28"/>
  <c r="A2" i="4"/>
  <c r="A2" i="16"/>
  <c r="A2" i="26"/>
  <c r="B2" i="15"/>
  <c r="L14"/>
  <c r="D37" i="3"/>
  <c r="E37"/>
  <c r="A9" i="15"/>
  <c r="B9"/>
  <c r="G12" i="10"/>
  <c r="G18"/>
  <c r="H10"/>
  <c r="H12"/>
  <c r="H16"/>
  <c r="H18"/>
  <c r="H11"/>
  <c r="H13"/>
  <c r="H17"/>
  <c r="H37" i="3"/>
  <c r="J37"/>
  <c r="I37"/>
  <c r="J35" i="22"/>
  <c r="J40" i="3"/>
  <c r="Q8" i="20"/>
  <c r="M14" i="15"/>
  <c r="J17" i="3"/>
  <c r="Q24" i="20"/>
  <c r="J16" i="22"/>
  <c r="J11"/>
  <c r="K8" i="20"/>
  <c r="J11" i="3"/>
  <c r="K24" i="20"/>
  <c r="G14" i="15"/>
  <c r="O14"/>
  <c r="J19" i="3"/>
  <c r="S8" i="20"/>
  <c r="S24"/>
  <c r="K6" i="3"/>
  <c r="Y5"/>
  <c r="AF5"/>
  <c r="AM5"/>
  <c r="AT5"/>
  <c r="R5"/>
  <c r="BB5"/>
  <c r="BI5"/>
  <c r="BP5"/>
  <c r="BW5"/>
  <c r="CD5"/>
  <c r="CK5"/>
  <c r="CR5"/>
  <c r="CY5"/>
  <c r="DF5"/>
  <c r="DM5"/>
  <c r="DT5"/>
  <c r="EA5"/>
  <c r="EH5"/>
  <c r="EO5"/>
  <c r="R6" i="20"/>
  <c r="R10"/>
  <c r="H18" i="3"/>
  <c r="J10" i="20"/>
  <c r="H10" i="22"/>
  <c r="J6" i="20"/>
  <c r="H10" i="3"/>
  <c r="P7" i="20"/>
  <c r="I15" i="22"/>
  <c r="P16" i="20"/>
  <c r="I16" i="3"/>
  <c r="K34" i="22"/>
  <c r="R20"/>
  <c r="R22"/>
  <c r="R12"/>
  <c r="R9"/>
  <c r="R21"/>
  <c r="R17"/>
  <c r="R16"/>
  <c r="R10"/>
  <c r="K20"/>
  <c r="K18"/>
  <c r="K19"/>
  <c r="K15"/>
  <c r="K11"/>
  <c r="K21"/>
  <c r="R6"/>
  <c r="R18"/>
  <c r="R15"/>
  <c r="R8"/>
  <c r="R13"/>
  <c r="R11"/>
  <c r="K32"/>
  <c r="R19"/>
  <c r="R14"/>
  <c r="K22"/>
  <c r="K16"/>
  <c r="K14"/>
  <c r="K12"/>
  <c r="K10"/>
  <c r="K17"/>
  <c r="K13"/>
  <c r="K9"/>
  <c r="K8"/>
  <c r="Y9"/>
  <c r="K33"/>
  <c r="K35"/>
  <c r="S21"/>
  <c r="L10"/>
  <c r="S12"/>
  <c r="L17"/>
  <c r="S22"/>
  <c r="S6"/>
  <c r="L16"/>
  <c r="L11"/>
  <c r="L9"/>
  <c r="S19"/>
  <c r="S11"/>
  <c r="L19"/>
  <c r="S18"/>
  <c r="S16"/>
  <c r="L14"/>
  <c r="L12"/>
  <c r="S10"/>
  <c r="L22"/>
  <c r="S13"/>
  <c r="L21"/>
  <c r="S14"/>
  <c r="S9"/>
  <c r="L15"/>
  <c r="S17"/>
  <c r="S20"/>
  <c r="L13"/>
  <c r="S15"/>
  <c r="L8"/>
  <c r="S8"/>
  <c r="L20"/>
  <c r="L18"/>
  <c r="Z18"/>
  <c r="P16"/>
  <c r="P7" i="8"/>
  <c r="P16"/>
  <c r="S3" i="1"/>
  <c r="V16" i="8"/>
  <c r="V7"/>
  <c r="P22" i="22"/>
  <c r="K7" i="8"/>
  <c r="K16"/>
  <c r="P11" i="22"/>
  <c r="M3" i="1"/>
  <c r="O7" i="8"/>
  <c r="O16"/>
  <c r="P15" i="22"/>
  <c r="R3" i="1"/>
  <c r="AC3"/>
  <c r="V10" i="8"/>
  <c r="V6"/>
  <c r="O22" i="22"/>
  <c r="J8" i="8"/>
  <c r="J24"/>
  <c r="Q10" i="22"/>
  <c r="Q17"/>
  <c r="Q24" i="8"/>
  <c r="Q8"/>
  <c r="W3" i="1"/>
  <c r="S24" i="8"/>
  <c r="S8"/>
  <c r="Q19" i="22"/>
  <c r="R24" i="8"/>
  <c r="X3" i="1"/>
  <c r="R8" i="8"/>
  <c r="Q18" i="22"/>
  <c r="O8" i="8"/>
  <c r="O24"/>
  <c r="Q15" i="22"/>
  <c r="Q9"/>
  <c r="I8" i="8"/>
  <c r="I24"/>
  <c r="K3" i="1"/>
  <c r="F14" i="15"/>
  <c r="H14"/>
  <c r="S14"/>
  <c r="V14"/>
  <c r="AD32" i="22"/>
  <c r="AK32"/>
  <c r="AR32"/>
  <c r="BM32"/>
  <c r="K9" i="15"/>
  <c r="E9"/>
  <c r="E13"/>
  <c r="P9"/>
  <c r="P13"/>
  <c r="I9"/>
  <c r="I13"/>
  <c r="C9"/>
  <c r="C13"/>
  <c r="J9"/>
  <c r="S9"/>
  <c r="D9"/>
  <c r="Q9"/>
  <c r="R9"/>
  <c r="F9"/>
  <c r="G9"/>
  <c r="H9"/>
  <c r="L9"/>
  <c r="M9"/>
  <c r="N9"/>
  <c r="O9"/>
  <c r="T9"/>
  <c r="U9"/>
  <c r="V9"/>
  <c r="W9"/>
  <c r="B3"/>
  <c r="W13"/>
  <c r="T13"/>
  <c r="R13"/>
  <c r="O13"/>
  <c r="M13"/>
  <c r="V13"/>
  <c r="S13"/>
  <c r="L13"/>
  <c r="H13"/>
  <c r="K13"/>
  <c r="J14"/>
  <c r="J13"/>
  <c r="N13"/>
  <c r="G13"/>
  <c r="U13"/>
  <c r="Q13"/>
  <c r="D13"/>
  <c r="E14"/>
  <c r="F13"/>
  <c r="N14"/>
  <c r="M8" i="20"/>
  <c r="J13" i="3"/>
  <c r="J33" i="22"/>
  <c r="J38" i="3"/>
  <c r="M24" i="20"/>
  <c r="I14" i="15"/>
  <c r="U8" i="20"/>
  <c r="U24"/>
  <c r="J17" i="22"/>
  <c r="J14"/>
  <c r="X17"/>
  <c r="Q14" i="15"/>
  <c r="J21" i="3"/>
  <c r="J15"/>
  <c r="X21"/>
  <c r="K14" i="15"/>
  <c r="O24" i="20"/>
  <c r="J39" i="3"/>
  <c r="X39"/>
  <c r="O8" i="20"/>
  <c r="J34" i="22"/>
  <c r="X34"/>
  <c r="I19"/>
  <c r="W19"/>
  <c r="I24" i="3"/>
  <c r="W24"/>
  <c r="X16" i="20"/>
  <c r="X7"/>
  <c r="F7"/>
  <c r="E7"/>
  <c r="L21" i="3"/>
  <c r="L26"/>
  <c r="S6"/>
  <c r="L16"/>
  <c r="L19"/>
  <c r="L9"/>
  <c r="L25"/>
  <c r="L24"/>
  <c r="L12"/>
  <c r="L11"/>
  <c r="L15"/>
  <c r="L18"/>
  <c r="L10"/>
  <c r="L13"/>
  <c r="L22"/>
  <c r="L8"/>
  <c r="L17"/>
  <c r="L23"/>
  <c r="L20"/>
  <c r="L14"/>
  <c r="L27"/>
  <c r="Z27"/>
  <c r="V6" i="20"/>
  <c r="H22" i="3"/>
  <c r="V10" i="20"/>
  <c r="H18" i="22"/>
  <c r="N6" i="20"/>
  <c r="H14" i="3"/>
  <c r="E4" i="10"/>
  <c r="N10" i="20"/>
  <c r="H13" i="22"/>
  <c r="H32"/>
  <c r="T10" i="20"/>
  <c r="H20" i="3"/>
  <c r="T6" i="20"/>
  <c r="L10"/>
  <c r="L6"/>
  <c r="H12" i="22"/>
  <c r="V12"/>
  <c r="H12" i="3"/>
  <c r="V12"/>
  <c r="BO5" i="22"/>
  <c r="BV5"/>
  <c r="CC5"/>
  <c r="CJ5"/>
  <c r="CQ5"/>
  <c r="CX5"/>
  <c r="DE5"/>
  <c r="DL5"/>
  <c r="DS5"/>
  <c r="DZ5"/>
  <c r="EG5"/>
  <c r="EN5"/>
  <c r="BA5"/>
  <c r="BH5"/>
  <c r="BP5"/>
  <c r="BW5"/>
  <c r="CD5"/>
  <c r="CK5"/>
  <c r="CR5"/>
  <c r="CY5"/>
  <c r="DF5"/>
  <c r="DM5"/>
  <c r="DT5"/>
  <c r="EA5"/>
  <c r="EH5"/>
  <c r="EO5"/>
  <c r="BB5"/>
  <c r="BI5"/>
  <c r="U8" i="8"/>
  <c r="Q21" i="22"/>
  <c r="AB3" i="1"/>
  <c r="U24" i="8"/>
  <c r="N16"/>
  <c r="P14" i="22"/>
  <c r="N7" i="8"/>
  <c r="Q3" i="1"/>
  <c r="J7" i="8"/>
  <c r="P10" i="22"/>
  <c r="J16" i="8"/>
  <c r="L3" i="1"/>
  <c r="S16" i="8"/>
  <c r="S7"/>
  <c r="P19" i="22"/>
  <c r="Z3" i="1"/>
  <c r="AA3"/>
  <c r="O20" i="22"/>
  <c r="T6" i="8"/>
  <c r="T10"/>
  <c r="H8"/>
  <c r="H24"/>
  <c r="Q8" i="22"/>
  <c r="J3" i="1"/>
  <c r="Q11" i="22"/>
  <c r="K8" i="8"/>
  <c r="K24"/>
  <c r="F23" i="10"/>
  <c r="G23"/>
  <c r="H23"/>
  <c r="M24" i="8"/>
  <c r="Q13" i="22"/>
  <c r="F6" i="10"/>
  <c r="G6"/>
  <c r="H6"/>
  <c r="M8" i="8"/>
  <c r="P3" i="1"/>
  <c r="P8" i="8"/>
  <c r="P24"/>
  <c r="Q16" i="22"/>
  <c r="L8" i="8"/>
  <c r="L24"/>
  <c r="Q12" i="22"/>
  <c r="N3" i="1"/>
  <c r="N8" i="8"/>
  <c r="N24"/>
  <c r="Q14" i="22"/>
  <c r="T24" i="8"/>
  <c r="T8"/>
  <c r="Q20" i="22"/>
  <c r="T14" i="15"/>
  <c r="D14"/>
  <c r="W14"/>
  <c r="R14"/>
  <c r="P14"/>
  <c r="U14"/>
  <c r="AD33" i="22"/>
  <c r="AK33"/>
  <c r="AR33"/>
  <c r="BM33"/>
  <c r="N12"/>
  <c r="L4" i="8"/>
  <c r="N8" i="22"/>
  <c r="H4" i="8"/>
  <c r="S4"/>
  <c r="N19" i="22"/>
  <c r="J4" i="8"/>
  <c r="N10" i="22"/>
  <c r="N4" i="8"/>
  <c r="N14" i="22"/>
  <c r="G12"/>
  <c r="L4" i="20"/>
  <c r="G12" i="3"/>
  <c r="T4" i="20"/>
  <c r="G20" i="3"/>
  <c r="J4" i="10"/>
  <c r="E9"/>
  <c r="G9"/>
  <c r="H9"/>
  <c r="G4"/>
  <c r="H4"/>
  <c r="G22" i="3"/>
  <c r="G18" i="22"/>
  <c r="V4" i="20"/>
  <c r="K4"/>
  <c r="G11" i="22"/>
  <c r="G11" i="3"/>
  <c r="U4" i="20"/>
  <c r="G17" i="22"/>
  <c r="G21" i="3"/>
  <c r="H4" i="20"/>
  <c r="G8" i="22"/>
  <c r="G8" i="3"/>
  <c r="G20" i="22"/>
  <c r="Y4" i="20"/>
  <c r="G25" i="3"/>
  <c r="G39"/>
  <c r="O4" i="20"/>
  <c r="G15" i="3"/>
  <c r="G14" i="22"/>
  <c r="G34"/>
  <c r="M4" i="20"/>
  <c r="G38" i="3"/>
  <c r="G13"/>
  <c r="G33" i="22"/>
  <c r="I4" i="8"/>
  <c r="N9" i="22"/>
  <c r="N17"/>
  <c r="Q4" i="8"/>
  <c r="V4"/>
  <c r="N22" i="22"/>
  <c r="N16"/>
  <c r="P4" i="8"/>
  <c r="W12" i="3"/>
  <c r="W11"/>
  <c r="W16"/>
  <c r="W27"/>
  <c r="W19"/>
  <c r="W26"/>
  <c r="W10"/>
  <c r="W13"/>
  <c r="W15"/>
  <c r="W25"/>
  <c r="W23"/>
  <c r="W20"/>
  <c r="W21"/>
  <c r="W9"/>
  <c r="W18"/>
  <c r="W8"/>
  <c r="W17"/>
  <c r="W14"/>
  <c r="W22"/>
  <c r="W13" i="22"/>
  <c r="W17"/>
  <c r="W20"/>
  <c r="W14"/>
  <c r="W9"/>
  <c r="W12"/>
  <c r="W21"/>
  <c r="W18"/>
  <c r="W16"/>
  <c r="W15"/>
  <c r="W8"/>
  <c r="W10"/>
  <c r="W11"/>
  <c r="W22"/>
  <c r="G15"/>
  <c r="P4" i="20"/>
  <c r="G16" i="3"/>
  <c r="EV5"/>
  <c r="FC5"/>
  <c r="FJ5"/>
  <c r="FQ5"/>
  <c r="FX5"/>
  <c r="K37"/>
  <c r="K39"/>
  <c r="K10"/>
  <c r="K14"/>
  <c r="K18"/>
  <c r="K22"/>
  <c r="K26"/>
  <c r="K15"/>
  <c r="K23"/>
  <c r="K9"/>
  <c r="K17"/>
  <c r="K25"/>
  <c r="K8"/>
  <c r="K12"/>
  <c r="K16"/>
  <c r="K20"/>
  <c r="K24"/>
  <c r="K11"/>
  <c r="K19"/>
  <c r="K27"/>
  <c r="K13"/>
  <c r="K21"/>
  <c r="Y13"/>
  <c r="R6"/>
  <c r="K38"/>
  <c r="K40"/>
  <c r="Y40"/>
  <c r="V37"/>
  <c r="V40"/>
  <c r="V38"/>
  <c r="V39"/>
  <c r="V13" i="22"/>
  <c r="V18"/>
  <c r="Z14" i="3"/>
  <c r="Z23"/>
  <c r="Z8"/>
  <c r="Z13"/>
  <c r="Z18"/>
  <c r="Z11"/>
  <c r="Z24"/>
  <c r="Z9"/>
  <c r="Z16"/>
  <c r="Z26"/>
  <c r="X15"/>
  <c r="X14" i="22"/>
  <c r="X38" i="3"/>
  <c r="X13"/>
  <c r="Z15" i="22"/>
  <c r="Z14"/>
  <c r="Z9"/>
  <c r="Z16"/>
  <c r="Y17"/>
  <c r="Y12"/>
  <c r="Y16"/>
  <c r="Y32"/>
  <c r="Y11"/>
  <c r="Y19"/>
  <c r="Y20"/>
  <c r="V18" i="3"/>
  <c r="X16" i="22"/>
  <c r="X17" i="3"/>
  <c r="X35" i="22"/>
  <c r="X37" i="3"/>
  <c r="N13" i="22"/>
  <c r="F3" i="10"/>
  <c r="M4" i="8"/>
  <c r="N20" i="22"/>
  <c r="T4" i="8"/>
  <c r="U4"/>
  <c r="N21" i="22"/>
  <c r="FC5"/>
  <c r="FJ5"/>
  <c r="FQ5"/>
  <c r="FX5"/>
  <c r="EV5"/>
  <c r="FB5"/>
  <c r="FI5"/>
  <c r="FP5"/>
  <c r="FW5"/>
  <c r="EU5"/>
  <c r="V34"/>
  <c r="V32"/>
  <c r="V35"/>
  <c r="V33"/>
  <c r="G13"/>
  <c r="E3" i="10"/>
  <c r="J3"/>
  <c r="G14" i="3"/>
  <c r="G32" i="22"/>
  <c r="N4" i="20"/>
  <c r="Z4"/>
  <c r="G26" i="3"/>
  <c r="G21" i="22"/>
  <c r="G9" i="3"/>
  <c r="G9" i="22"/>
  <c r="I4" i="20"/>
  <c r="G22" i="22"/>
  <c r="G27" i="3"/>
  <c r="AA4" i="20"/>
  <c r="S4"/>
  <c r="G19" i="3"/>
  <c r="G16" i="22"/>
  <c r="G40" i="3"/>
  <c r="Q4" i="20"/>
  <c r="G17" i="3"/>
  <c r="G35" i="22"/>
  <c r="U35"/>
  <c r="W4" i="20"/>
  <c r="G23" i="3"/>
  <c r="X4" i="20"/>
  <c r="G24" i="3"/>
  <c r="G19" i="22"/>
  <c r="X33"/>
  <c r="X32"/>
  <c r="R4" i="8"/>
  <c r="N18" i="22"/>
  <c r="O4" i="8"/>
  <c r="N15" i="22"/>
  <c r="N11"/>
  <c r="K4" i="8"/>
  <c r="Y33" i="22"/>
  <c r="Y35"/>
  <c r="V13" i="3"/>
  <c r="V21"/>
  <c r="V25"/>
  <c r="V15"/>
  <c r="V23"/>
  <c r="V10"/>
  <c r="V26"/>
  <c r="V11"/>
  <c r="V27"/>
  <c r="V17"/>
  <c r="V8"/>
  <c r="V9"/>
  <c r="V16"/>
  <c r="V19"/>
  <c r="V24"/>
  <c r="V22" i="22"/>
  <c r="V16"/>
  <c r="V11"/>
  <c r="V15"/>
  <c r="V17"/>
  <c r="V14"/>
  <c r="V19"/>
  <c r="V8"/>
  <c r="V10"/>
  <c r="V20"/>
  <c r="V9"/>
  <c r="V21"/>
  <c r="G10" i="3"/>
  <c r="G10" i="22"/>
  <c r="U10"/>
  <c r="J4" i="20"/>
  <c r="G18" i="3"/>
  <c r="U18"/>
  <c r="R4" i="20"/>
  <c r="BA5" i="3"/>
  <c r="BH5"/>
  <c r="BO5"/>
  <c r="BV5"/>
  <c r="CC5"/>
  <c r="CJ5"/>
  <c r="CQ5"/>
  <c r="CX5"/>
  <c r="DE5"/>
  <c r="DL5"/>
  <c r="DS5"/>
  <c r="DZ5"/>
  <c r="EG5"/>
  <c r="EN5"/>
  <c r="X12"/>
  <c r="X25"/>
  <c r="X24"/>
  <c r="X8"/>
  <c r="X18"/>
  <c r="X16"/>
  <c r="X26"/>
  <c r="X20"/>
  <c r="X27"/>
  <c r="X10"/>
  <c r="X22"/>
  <c r="X23"/>
  <c r="X9"/>
  <c r="X14"/>
  <c r="X11"/>
  <c r="X18" i="22"/>
  <c r="X13"/>
  <c r="X19"/>
  <c r="X21"/>
  <c r="X11"/>
  <c r="X12"/>
  <c r="X8"/>
  <c r="X15"/>
  <c r="X9"/>
  <c r="AE9"/>
  <c r="AL9"/>
  <c r="X22"/>
  <c r="X10"/>
  <c r="X20"/>
  <c r="AE10"/>
  <c r="AL10"/>
  <c r="W39" i="3"/>
  <c r="W38"/>
  <c r="W37"/>
  <c r="W40"/>
  <c r="V20"/>
  <c r="V14"/>
  <c r="V22"/>
  <c r="Z20"/>
  <c r="Z17"/>
  <c r="Z22"/>
  <c r="Z10"/>
  <c r="Z15"/>
  <c r="Z12"/>
  <c r="Z19"/>
  <c r="AG23"/>
  <c r="Z25"/>
  <c r="Z21"/>
  <c r="C19" i="15"/>
  <c r="P7" i="16"/>
  <c r="Z20" i="22"/>
  <c r="Z8"/>
  <c r="Z13"/>
  <c r="Z21"/>
  <c r="Z22"/>
  <c r="Z12"/>
  <c r="Z19"/>
  <c r="Z11"/>
  <c r="Z17"/>
  <c r="Z10"/>
  <c r="Y8"/>
  <c r="Y13"/>
  <c r="Y10"/>
  <c r="Y14"/>
  <c r="Y22"/>
  <c r="Y21"/>
  <c r="Y15"/>
  <c r="Y18"/>
  <c r="Y34"/>
  <c r="X19" i="3"/>
  <c r="X40"/>
  <c r="G37"/>
  <c r="U37"/>
  <c r="AF14" i="22"/>
  <c r="AM14"/>
  <c r="AT14"/>
  <c r="AF9"/>
  <c r="AM9"/>
  <c r="AT9"/>
  <c r="AF17"/>
  <c r="AM17"/>
  <c r="AT17"/>
  <c r="AF8"/>
  <c r="AM8"/>
  <c r="AF11"/>
  <c r="AM11"/>
  <c r="AT11"/>
  <c r="AF12"/>
  <c r="AM12"/>
  <c r="AT12"/>
  <c r="AF15"/>
  <c r="AM15"/>
  <c r="AT15"/>
  <c r="AF10"/>
  <c r="AM10"/>
  <c r="AT10"/>
  <c r="AF18"/>
  <c r="AM18"/>
  <c r="AT18"/>
  <c r="AF13"/>
  <c r="AM13"/>
  <c r="AT13"/>
  <c r="AF22"/>
  <c r="AM22"/>
  <c r="AT22"/>
  <c r="AF16"/>
  <c r="AM16"/>
  <c r="AT16"/>
  <c r="AF19"/>
  <c r="AM19"/>
  <c r="AT19"/>
  <c r="AF20"/>
  <c r="AM20"/>
  <c r="AT20"/>
  <c r="AF21"/>
  <c r="AM21"/>
  <c r="AT21"/>
  <c r="AS10"/>
  <c r="AN7" i="25"/>
  <c r="AC16" i="22"/>
  <c r="AJ16"/>
  <c r="AC10"/>
  <c r="AJ10"/>
  <c r="AC15"/>
  <c r="AJ15"/>
  <c r="AC22"/>
  <c r="AJ22"/>
  <c r="AC14"/>
  <c r="AJ14"/>
  <c r="AC12"/>
  <c r="AJ12"/>
  <c r="AC11"/>
  <c r="AJ11"/>
  <c r="AC8"/>
  <c r="AJ8"/>
  <c r="AC13"/>
  <c r="AJ13"/>
  <c r="AC18"/>
  <c r="AJ18"/>
  <c r="AC9"/>
  <c r="AJ9"/>
  <c r="AC19"/>
  <c r="AJ19"/>
  <c r="AC17"/>
  <c r="AJ17"/>
  <c r="AC20"/>
  <c r="AJ20"/>
  <c r="AC21"/>
  <c r="AJ21"/>
  <c r="AC8" i="3"/>
  <c r="AC20"/>
  <c r="AC27"/>
  <c r="AC23"/>
  <c r="AC25"/>
  <c r="AC24"/>
  <c r="AC9"/>
  <c r="AC21"/>
  <c r="AC17"/>
  <c r="AC26"/>
  <c r="AC16"/>
  <c r="AC19"/>
  <c r="AC10"/>
  <c r="AC13"/>
  <c r="AC15"/>
  <c r="AC12"/>
  <c r="AC11"/>
  <c r="AC22"/>
  <c r="AC14"/>
  <c r="AC18"/>
  <c r="G3" i="10"/>
  <c r="H3"/>
  <c r="AE39" i="3"/>
  <c r="AL39"/>
  <c r="AE38"/>
  <c r="AL38"/>
  <c r="AE40"/>
  <c r="AL40"/>
  <c r="AE37"/>
  <c r="AL37"/>
  <c r="AF33" i="22"/>
  <c r="AM33"/>
  <c r="AT33"/>
  <c r="BO33"/>
  <c r="AF34"/>
  <c r="AM34"/>
  <c r="AT34"/>
  <c r="BO34"/>
  <c r="AF32"/>
  <c r="AM32"/>
  <c r="AT32"/>
  <c r="BO32"/>
  <c r="AF35"/>
  <c r="AM35"/>
  <c r="AT35"/>
  <c r="BO35"/>
  <c r="U24" i="3"/>
  <c r="U23"/>
  <c r="U16" i="22"/>
  <c r="U27" i="3"/>
  <c r="U9"/>
  <c r="U26"/>
  <c r="U14"/>
  <c r="U13" i="22"/>
  <c r="Y19" i="3"/>
  <c r="Y24"/>
  <c r="Y16"/>
  <c r="Y8"/>
  <c r="Y17"/>
  <c r="Y23"/>
  <c r="Y26"/>
  <c r="Y18"/>
  <c r="Y10"/>
  <c r="Y37"/>
  <c r="U13"/>
  <c r="U14" i="22"/>
  <c r="U25" i="3"/>
  <c r="U20" i="22"/>
  <c r="U8"/>
  <c r="U21" i="3"/>
  <c r="U11" i="22"/>
  <c r="U22" i="3"/>
  <c r="U20"/>
  <c r="U12"/>
  <c r="U12" i="22"/>
  <c r="U38" i="3"/>
  <c r="U39"/>
  <c r="U40"/>
  <c r="AB39"/>
  <c r="AI39"/>
  <c r="AG22" i="22"/>
  <c r="AN22"/>
  <c r="AU22"/>
  <c r="AG10"/>
  <c r="AN10"/>
  <c r="AU10"/>
  <c r="AG8"/>
  <c r="AN8"/>
  <c r="AG14"/>
  <c r="AN14"/>
  <c r="AU14"/>
  <c r="AG19"/>
  <c r="AN19"/>
  <c r="AU19"/>
  <c r="AG12"/>
  <c r="AN12"/>
  <c r="AU12"/>
  <c r="AG18"/>
  <c r="AN18"/>
  <c r="AU18"/>
  <c r="AG11"/>
  <c r="AN11"/>
  <c r="AU11"/>
  <c r="AG9"/>
  <c r="AN9"/>
  <c r="AU9"/>
  <c r="AG15"/>
  <c r="AN15"/>
  <c r="AU15"/>
  <c r="AG16"/>
  <c r="AN16"/>
  <c r="AU16"/>
  <c r="AG17"/>
  <c r="AN17"/>
  <c r="AU17"/>
  <c r="AG13"/>
  <c r="AN13"/>
  <c r="AU13"/>
  <c r="AG20"/>
  <c r="AN20"/>
  <c r="AU20"/>
  <c r="AG21"/>
  <c r="AN21"/>
  <c r="AU21"/>
  <c r="AN23" i="3"/>
  <c r="BP23"/>
  <c r="AD39"/>
  <c r="AK39"/>
  <c r="AD40"/>
  <c r="AK40"/>
  <c r="AD38"/>
  <c r="AK38"/>
  <c r="AD37"/>
  <c r="AK37"/>
  <c r="AN6" i="25"/>
  <c r="AS9" i="22"/>
  <c r="AE17"/>
  <c r="AL17"/>
  <c r="AE14"/>
  <c r="AL14"/>
  <c r="AE13"/>
  <c r="AL13"/>
  <c r="AE11"/>
  <c r="AL11"/>
  <c r="AE15"/>
  <c r="AL15"/>
  <c r="AE18"/>
  <c r="AL18"/>
  <c r="AE20"/>
  <c r="AL20"/>
  <c r="AE8"/>
  <c r="AL8"/>
  <c r="AE16"/>
  <c r="AL16"/>
  <c r="AE12"/>
  <c r="AL12"/>
  <c r="AE19"/>
  <c r="AL19"/>
  <c r="AE22"/>
  <c r="AL22"/>
  <c r="AE21"/>
  <c r="AL21"/>
  <c r="AE18" i="3"/>
  <c r="AE13"/>
  <c r="AE16"/>
  <c r="AE11"/>
  <c r="AE15"/>
  <c r="AE26"/>
  <c r="AE12"/>
  <c r="AE25"/>
  <c r="AE23"/>
  <c r="AE19"/>
  <c r="AE21"/>
  <c r="AE27"/>
  <c r="AE9"/>
  <c r="AE10"/>
  <c r="AE24"/>
  <c r="AE8"/>
  <c r="AE20"/>
  <c r="AE22"/>
  <c r="AE17"/>
  <c r="AE14"/>
  <c r="FB5"/>
  <c r="FI5"/>
  <c r="FP5"/>
  <c r="FW5"/>
  <c r="EU5"/>
  <c r="AE34" i="22"/>
  <c r="AL34"/>
  <c r="AS34"/>
  <c r="BN34"/>
  <c r="AE32"/>
  <c r="AL32"/>
  <c r="AS32"/>
  <c r="BN32"/>
  <c r="AE35"/>
  <c r="AL35"/>
  <c r="AS35"/>
  <c r="BN35"/>
  <c r="AE33"/>
  <c r="AL33"/>
  <c r="AS33"/>
  <c r="BN33"/>
  <c r="AC34"/>
  <c r="AJ34"/>
  <c r="AQ34"/>
  <c r="BL34"/>
  <c r="AC33"/>
  <c r="AJ33"/>
  <c r="AQ33"/>
  <c r="BL33"/>
  <c r="AC32"/>
  <c r="AJ32"/>
  <c r="AQ32"/>
  <c r="BL32"/>
  <c r="AC35"/>
  <c r="AJ35"/>
  <c r="AQ35"/>
  <c r="BL35"/>
  <c r="AG21" i="3"/>
  <c r="AG13"/>
  <c r="AG9"/>
  <c r="AG22"/>
  <c r="AG26"/>
  <c r="AG15"/>
  <c r="AG20"/>
  <c r="AG14"/>
  <c r="AG17"/>
  <c r="AG24"/>
  <c r="AG18"/>
  <c r="AG25"/>
  <c r="AG8"/>
  <c r="AG11"/>
  <c r="AG12"/>
  <c r="AG16"/>
  <c r="AG27"/>
  <c r="AG19"/>
  <c r="AG10"/>
  <c r="AC39"/>
  <c r="AJ39"/>
  <c r="AC37"/>
  <c r="AJ37"/>
  <c r="AC40"/>
  <c r="AJ40"/>
  <c r="AD10" i="22"/>
  <c r="AK10"/>
  <c r="AD16"/>
  <c r="AK16"/>
  <c r="AD20"/>
  <c r="AK20"/>
  <c r="AD22"/>
  <c r="AK22"/>
  <c r="AD15"/>
  <c r="AK15"/>
  <c r="AD8"/>
  <c r="AK8"/>
  <c r="AD18"/>
  <c r="AK18"/>
  <c r="AD12"/>
  <c r="AK12"/>
  <c r="AD9"/>
  <c r="AK9"/>
  <c r="AD17"/>
  <c r="AK17"/>
  <c r="AD19"/>
  <c r="AK19"/>
  <c r="AD14"/>
  <c r="AK14"/>
  <c r="AD11"/>
  <c r="AK11"/>
  <c r="AD21"/>
  <c r="AK21"/>
  <c r="AD13"/>
  <c r="AK13"/>
  <c r="AD16" i="3"/>
  <c r="AD21"/>
  <c r="AD13"/>
  <c r="AD17"/>
  <c r="AD14"/>
  <c r="AD22"/>
  <c r="AD27"/>
  <c r="AD24"/>
  <c r="AD9"/>
  <c r="AD26"/>
  <c r="AD8"/>
  <c r="AD15"/>
  <c r="AD10"/>
  <c r="AD25"/>
  <c r="AD11"/>
  <c r="AD12"/>
  <c r="AD20"/>
  <c r="AD18"/>
  <c r="AD23"/>
  <c r="AD19"/>
  <c r="U10"/>
  <c r="U19" i="22"/>
  <c r="U17" i="3"/>
  <c r="U19"/>
  <c r="U22" i="22"/>
  <c r="U9"/>
  <c r="U21"/>
  <c r="U32"/>
  <c r="AC38" i="3"/>
  <c r="AJ38"/>
  <c r="Y38"/>
  <c r="Y21"/>
  <c r="Y27"/>
  <c r="Y11"/>
  <c r="Y20"/>
  <c r="Y12"/>
  <c r="Y25"/>
  <c r="Y9"/>
  <c r="Y15"/>
  <c r="Y22"/>
  <c r="Y14"/>
  <c r="Y39"/>
  <c r="U16"/>
  <c r="U15" i="22"/>
  <c r="U33"/>
  <c r="AB35"/>
  <c r="AI35"/>
  <c r="AP35"/>
  <c r="BK35"/>
  <c r="AB40" i="3"/>
  <c r="AI40"/>
  <c r="U34" i="22"/>
  <c r="U15" i="3"/>
  <c r="U8"/>
  <c r="U17" i="22"/>
  <c r="U11" i="3"/>
  <c r="U18" i="22"/>
  <c r="AB34"/>
  <c r="AI34"/>
  <c r="AP34"/>
  <c r="BK34"/>
  <c r="AB32"/>
  <c r="AI32"/>
  <c r="AP32"/>
  <c r="BK32"/>
  <c r="AB33"/>
  <c r="AI33"/>
  <c r="AP33"/>
  <c r="BK33"/>
  <c r="AK23" i="3"/>
  <c r="BM23"/>
  <c r="AK20"/>
  <c r="BM20"/>
  <c r="BM11"/>
  <c r="AK11"/>
  <c r="BM10"/>
  <c r="AK10"/>
  <c r="BM8"/>
  <c r="AK8"/>
  <c r="BM9"/>
  <c r="AK9"/>
  <c r="BM27"/>
  <c r="AK27"/>
  <c r="AK14"/>
  <c r="BM14"/>
  <c r="AK13"/>
  <c r="BM13"/>
  <c r="BM16"/>
  <c r="AK16"/>
  <c r="AR21" i="22"/>
  <c r="AD18" i="25"/>
  <c r="AR14" i="22"/>
  <c r="AD11" i="25"/>
  <c r="AD14"/>
  <c r="AR17" i="22"/>
  <c r="AD9" i="25"/>
  <c r="AR12" i="22"/>
  <c r="AK68" i="3"/>
  <c r="AK65"/>
  <c r="AD5" i="25"/>
  <c r="AK66" i="3"/>
  <c r="AK67"/>
  <c r="AK64"/>
  <c r="AR8" i="22"/>
  <c r="AD19" i="25"/>
  <c r="AR22" i="22"/>
  <c r="AD13" i="25"/>
  <c r="AR16" i="22"/>
  <c r="AQ40" i="3"/>
  <c r="D14" i="12"/>
  <c r="D13"/>
  <c r="AQ39" i="3"/>
  <c r="AN19"/>
  <c r="BP19"/>
  <c r="AN16"/>
  <c r="BP16"/>
  <c r="AN11"/>
  <c r="BP11"/>
  <c r="BP25"/>
  <c r="AN25"/>
  <c r="AN24"/>
  <c r="BP24"/>
  <c r="BP14"/>
  <c r="AN14"/>
  <c r="BP15"/>
  <c r="AN15"/>
  <c r="AN22"/>
  <c r="BP22"/>
  <c r="AN13"/>
  <c r="BP13"/>
  <c r="AL14"/>
  <c r="BN14"/>
  <c r="BN22"/>
  <c r="AL22"/>
  <c r="AL8"/>
  <c r="BN8"/>
  <c r="BN10"/>
  <c r="AL10"/>
  <c r="BN27"/>
  <c r="AL27"/>
  <c r="BN19"/>
  <c r="AL19"/>
  <c r="BN25"/>
  <c r="AL25"/>
  <c r="AL26"/>
  <c r="BN26"/>
  <c r="AL11"/>
  <c r="BN11"/>
  <c r="AL13"/>
  <c r="BN13"/>
  <c r="AN18" i="25"/>
  <c r="AS21" i="22"/>
  <c r="AS19"/>
  <c r="AN16" i="25"/>
  <c r="AS16" i="22"/>
  <c r="AN13" i="25"/>
  <c r="AS20" i="22"/>
  <c r="AN17" i="25"/>
  <c r="AS15" i="22"/>
  <c r="AN12" i="25"/>
  <c r="AN10"/>
  <c r="AS13" i="22"/>
  <c r="AS17"/>
  <c r="AN14" i="25"/>
  <c r="D18" i="12"/>
  <c r="AR37" i="3"/>
  <c r="AR40"/>
  <c r="D21" i="12"/>
  <c r="BP21" i="22"/>
  <c r="BP13"/>
  <c r="BP16"/>
  <c r="BP9"/>
  <c r="BP18"/>
  <c r="BP19"/>
  <c r="AN65" i="3"/>
  <c r="BB65"/>
  <c r="AN66"/>
  <c r="BB66"/>
  <c r="AN64"/>
  <c r="BB64"/>
  <c r="AN67"/>
  <c r="BB67"/>
  <c r="AN68"/>
  <c r="BB68"/>
  <c r="AU8" i="22"/>
  <c r="BP22"/>
  <c r="BB22"/>
  <c r="AB9"/>
  <c r="AI9"/>
  <c r="AB20"/>
  <c r="AI20"/>
  <c r="AB17"/>
  <c r="AI17"/>
  <c r="AB12"/>
  <c r="AI12"/>
  <c r="AB15"/>
  <c r="AI15"/>
  <c r="AB10"/>
  <c r="AI10"/>
  <c r="AB8"/>
  <c r="AI8"/>
  <c r="AB22"/>
  <c r="AI22"/>
  <c r="AB19"/>
  <c r="AI19"/>
  <c r="AB16"/>
  <c r="AI16"/>
  <c r="AB11"/>
  <c r="AI11"/>
  <c r="AB13"/>
  <c r="AI13"/>
  <c r="AB18"/>
  <c r="AI18"/>
  <c r="AB21"/>
  <c r="AI21"/>
  <c r="AB14"/>
  <c r="AI14"/>
  <c r="AS40" i="3"/>
  <c r="D29" i="12"/>
  <c r="AS39" i="3"/>
  <c r="D28" i="12"/>
  <c r="BL14" i="3"/>
  <c r="AJ14"/>
  <c r="AJ11"/>
  <c r="BL11"/>
  <c r="AJ15"/>
  <c r="BL15"/>
  <c r="AJ10"/>
  <c r="BL10"/>
  <c r="BL16"/>
  <c r="AJ16"/>
  <c r="BL17"/>
  <c r="AJ17"/>
  <c r="BL9"/>
  <c r="AJ9"/>
  <c r="BL25"/>
  <c r="AJ25"/>
  <c r="BL27"/>
  <c r="AJ27"/>
  <c r="AJ8"/>
  <c r="BL8"/>
  <c r="AQ20" i="22"/>
  <c r="R17" i="25"/>
  <c r="R16"/>
  <c r="AQ19" i="22"/>
  <c r="R15" i="25"/>
  <c r="AQ18" i="22"/>
  <c r="R5" i="25"/>
  <c r="AQ8" i="22"/>
  <c r="AJ68" i="3"/>
  <c r="AJ65"/>
  <c r="AJ66"/>
  <c r="AJ67"/>
  <c r="AJ64"/>
  <c r="R9" i="25"/>
  <c r="AQ12" i="22"/>
  <c r="AQ22"/>
  <c r="R19" i="25"/>
  <c r="R7"/>
  <c r="AQ10" i="22"/>
  <c r="BO21"/>
  <c r="BO19"/>
  <c r="BO22"/>
  <c r="BO18"/>
  <c r="BO15"/>
  <c r="BO11"/>
  <c r="BO17"/>
  <c r="BO14"/>
  <c r="AB38" i="3"/>
  <c r="AI38"/>
  <c r="AB25"/>
  <c r="AB12"/>
  <c r="AB15"/>
  <c r="AB18"/>
  <c r="AB24"/>
  <c r="AB9"/>
  <c r="AB20"/>
  <c r="AB17"/>
  <c r="AB22"/>
  <c r="AB26"/>
  <c r="AB10"/>
  <c r="AB11"/>
  <c r="AB21"/>
  <c r="AB14"/>
  <c r="AB8"/>
  <c r="AB13"/>
  <c r="AB23"/>
  <c r="AB27"/>
  <c r="AB19"/>
  <c r="AB16"/>
  <c r="AP40"/>
  <c r="D7" i="12"/>
  <c r="AQ38" i="3"/>
  <c r="D12" i="12"/>
  <c r="AK19" i="3"/>
  <c r="BM19"/>
  <c r="AK18"/>
  <c r="BM18"/>
  <c r="BM12"/>
  <c r="AK12"/>
  <c r="BM25"/>
  <c r="AK25"/>
  <c r="BM15"/>
  <c r="AK15"/>
  <c r="BM26"/>
  <c r="AK26"/>
  <c r="AK24"/>
  <c r="BM24"/>
  <c r="AK22"/>
  <c r="BM22"/>
  <c r="AK17"/>
  <c r="BM17"/>
  <c r="BM21"/>
  <c r="AK21"/>
  <c r="AR13" i="22"/>
  <c r="AD10" i="25"/>
  <c r="AR11" i="22"/>
  <c r="AD8" i="25"/>
  <c r="AD16"/>
  <c r="AR19" i="22"/>
  <c r="AD6" i="25"/>
  <c r="AR9" i="22"/>
  <c r="AR18"/>
  <c r="AD15" i="25"/>
  <c r="AR15" i="22"/>
  <c r="AD12" i="25"/>
  <c r="AD17"/>
  <c r="AR20" i="22"/>
  <c r="AD7" i="25"/>
  <c r="AR10" i="22"/>
  <c r="D11" i="12"/>
  <c r="AQ37" i="3"/>
  <c r="BP10"/>
  <c r="AN10"/>
  <c r="AN27"/>
  <c r="BP27"/>
  <c r="BP12"/>
  <c r="AN12"/>
  <c r="AN8"/>
  <c r="BP8"/>
  <c r="BP9"/>
  <c r="BP17"/>
  <c r="BP18"/>
  <c r="BP20"/>
  <c r="BP21"/>
  <c r="BP26"/>
  <c r="BW23"/>
  <c r="AN18"/>
  <c r="AN17"/>
  <c r="AN20"/>
  <c r="AN26"/>
  <c r="AN9"/>
  <c r="AN21"/>
  <c r="AL17"/>
  <c r="BN17"/>
  <c r="AL20"/>
  <c r="BN20"/>
  <c r="BN24"/>
  <c r="AL24"/>
  <c r="AL9"/>
  <c r="BN9"/>
  <c r="AL21"/>
  <c r="BN21"/>
  <c r="BN23"/>
  <c r="AL23"/>
  <c r="BN12"/>
  <c r="AL12"/>
  <c r="AL15"/>
  <c r="BN15"/>
  <c r="BN16"/>
  <c r="AL16"/>
  <c r="BN18"/>
  <c r="AL18"/>
  <c r="AN19" i="25"/>
  <c r="AS22" i="22"/>
  <c r="AS12"/>
  <c r="AN9" i="25"/>
  <c r="AN5"/>
  <c r="AS8" i="22"/>
  <c r="AL65" i="3"/>
  <c r="AL66"/>
  <c r="AL64"/>
  <c r="AL67"/>
  <c r="AL68"/>
  <c r="AS18" i="22"/>
  <c r="AN15" i="25"/>
  <c r="AS11" i="22"/>
  <c r="AN8" i="25"/>
  <c r="AN11"/>
  <c r="AS14" i="22"/>
  <c r="AO6" i="25"/>
  <c r="BN9" i="22"/>
  <c r="AR38" i="3"/>
  <c r="D19" i="12"/>
  <c r="D20"/>
  <c r="AR39" i="3"/>
  <c r="AU23"/>
  <c r="C39" i="15"/>
  <c r="AN59" i="3"/>
  <c r="BB59"/>
  <c r="BP20" i="22"/>
  <c r="BB20"/>
  <c r="BP17"/>
  <c r="BB17"/>
  <c r="BP15"/>
  <c r="BB15"/>
  <c r="BP11"/>
  <c r="BB11"/>
  <c r="BP12"/>
  <c r="BB12"/>
  <c r="BP14"/>
  <c r="BB14"/>
  <c r="BP10"/>
  <c r="BB10"/>
  <c r="AP39" i="3"/>
  <c r="D6" i="12"/>
  <c r="AF40" i="3"/>
  <c r="AM40"/>
  <c r="AT40"/>
  <c r="BO40"/>
  <c r="AF39"/>
  <c r="AM39"/>
  <c r="AT39"/>
  <c r="BO39"/>
  <c r="AF37"/>
  <c r="AM37"/>
  <c r="AT37"/>
  <c r="BO37"/>
  <c r="AF38"/>
  <c r="AM38"/>
  <c r="AT38"/>
  <c r="BO38"/>
  <c r="AF9"/>
  <c r="AF20"/>
  <c r="AF10"/>
  <c r="AF22"/>
  <c r="AF17"/>
  <c r="AF12"/>
  <c r="AF8"/>
  <c r="AF19"/>
  <c r="AF13"/>
  <c r="AF27"/>
  <c r="AF15"/>
  <c r="AF18"/>
  <c r="AF26"/>
  <c r="AF11"/>
  <c r="AF25"/>
  <c r="AF24"/>
  <c r="AF14"/>
  <c r="AF23"/>
  <c r="AF16"/>
  <c r="AF21"/>
  <c r="AS37"/>
  <c r="D26" i="12"/>
  <c r="D27"/>
  <c r="AS38" i="3"/>
  <c r="BL18"/>
  <c r="AJ18"/>
  <c r="AJ22"/>
  <c r="BL22"/>
  <c r="BL12"/>
  <c r="AJ12"/>
  <c r="BL13"/>
  <c r="AJ13"/>
  <c r="BL19"/>
  <c r="AJ19"/>
  <c r="AJ26"/>
  <c r="BL26"/>
  <c r="AJ21"/>
  <c r="BL21"/>
  <c r="AJ24"/>
  <c r="BL24"/>
  <c r="AJ23"/>
  <c r="BL23"/>
  <c r="AJ20"/>
  <c r="BL20"/>
  <c r="R18" i="25"/>
  <c r="AQ21" i="22"/>
  <c r="R14" i="25"/>
  <c r="AQ17" i="22"/>
  <c r="R6" i="25"/>
  <c r="AQ9" i="22"/>
  <c r="R10" i="25"/>
  <c r="AQ13" i="22"/>
  <c r="R8" i="25"/>
  <c r="AQ11" i="22"/>
  <c r="R11" i="25"/>
  <c r="AQ14" i="22"/>
  <c r="R12" i="25"/>
  <c r="AQ15" i="22"/>
  <c r="AQ16"/>
  <c r="R13" i="25"/>
  <c r="AZ10" i="22"/>
  <c r="AO7" i="25"/>
  <c r="BN10" i="22"/>
  <c r="BO20"/>
  <c r="BO16"/>
  <c r="BO13"/>
  <c r="BO10"/>
  <c r="BO12"/>
  <c r="AM67" i="3"/>
  <c r="AM68"/>
  <c r="AM66"/>
  <c r="AM64"/>
  <c r="AT8" i="22"/>
  <c r="AM65" i="3"/>
  <c r="BA9" i="22"/>
  <c r="BO9"/>
  <c r="AB37" i="3"/>
  <c r="AI37"/>
  <c r="AP37"/>
  <c r="D4" i="12"/>
  <c r="BO8" i="22"/>
  <c r="BA8"/>
  <c r="BH8"/>
  <c r="AU66" i="3"/>
  <c r="BA66"/>
  <c r="BA67"/>
  <c r="AU67"/>
  <c r="CC12" i="22"/>
  <c r="BV12"/>
  <c r="CC10"/>
  <c r="CQ10"/>
  <c r="CX10"/>
  <c r="BV10"/>
  <c r="CC13"/>
  <c r="CX13"/>
  <c r="BV13"/>
  <c r="CC16"/>
  <c r="BV16"/>
  <c r="CX16"/>
  <c r="CC20"/>
  <c r="CQ20"/>
  <c r="BV20"/>
  <c r="S12" i="25"/>
  <c r="BL15" i="22"/>
  <c r="AX15"/>
  <c r="BL14"/>
  <c r="S11" i="25"/>
  <c r="AX14" i="22"/>
  <c r="BL11"/>
  <c r="S8" i="25"/>
  <c r="AX11" i="22"/>
  <c r="BL13"/>
  <c r="S10" i="25"/>
  <c r="AX13" i="22"/>
  <c r="BL9"/>
  <c r="S6" i="25"/>
  <c r="AX9" i="22"/>
  <c r="BL17"/>
  <c r="S14" i="25"/>
  <c r="AX17" i="22"/>
  <c r="AX21"/>
  <c r="BL21"/>
  <c r="S18" i="25"/>
  <c r="BS20" i="3"/>
  <c r="DB23"/>
  <c r="BS23"/>
  <c r="CN23"/>
  <c r="DI23"/>
  <c r="BZ23"/>
  <c r="CU23"/>
  <c r="BS24"/>
  <c r="CN21"/>
  <c r="BS21"/>
  <c r="BZ21"/>
  <c r="DB21"/>
  <c r="CU21"/>
  <c r="DI21"/>
  <c r="BS26"/>
  <c r="O15" i="28"/>
  <c r="AQ19" i="3"/>
  <c r="H15" i="4"/>
  <c r="N15" i="19"/>
  <c r="L15" i="26"/>
  <c r="AJ55" i="3"/>
  <c r="L9" i="26"/>
  <c r="AQ13" i="3"/>
  <c r="O9" i="28"/>
  <c r="AJ49" i="3"/>
  <c r="H9" i="4"/>
  <c r="N9" i="19"/>
  <c r="H8" i="4"/>
  <c r="O8" i="28"/>
  <c r="L8" i="26"/>
  <c r="AQ12" i="3"/>
  <c r="AJ48"/>
  <c r="N8" i="19"/>
  <c r="BS22" i="3"/>
  <c r="O14" i="28"/>
  <c r="AJ54" i="3"/>
  <c r="AQ18"/>
  <c r="H14" i="4"/>
  <c r="L14" i="26"/>
  <c r="N14" i="19"/>
  <c r="BN38" i="3"/>
  <c r="F27" i="12"/>
  <c r="E27"/>
  <c r="AM21" i="3"/>
  <c r="BO21"/>
  <c r="AM23"/>
  <c r="BO23"/>
  <c r="AM24"/>
  <c r="BO24"/>
  <c r="AM11"/>
  <c r="BO11"/>
  <c r="AM18"/>
  <c r="BO18"/>
  <c r="AM27"/>
  <c r="BO27"/>
  <c r="AM19"/>
  <c r="BO19"/>
  <c r="AM12"/>
  <c r="BO12"/>
  <c r="AM22"/>
  <c r="BO22"/>
  <c r="AM20"/>
  <c r="BO20"/>
  <c r="CD23"/>
  <c r="D39" i="15"/>
  <c r="O24" i="16"/>
  <c r="F19" i="12"/>
  <c r="E19"/>
  <c r="BM38" i="3"/>
  <c r="CB9" i="22"/>
  <c r="CW9"/>
  <c r="AQ6" i="25"/>
  <c r="BN14" i="22"/>
  <c r="AO11" i="25"/>
  <c r="AZ14" i="22"/>
  <c r="AT68" i="3"/>
  <c r="AZ68"/>
  <c r="AZ64"/>
  <c r="AT64"/>
  <c r="AZ65"/>
  <c r="AT65"/>
  <c r="AO9" i="25"/>
  <c r="BN12" i="22"/>
  <c r="AZ12"/>
  <c r="BU18" i="3"/>
  <c r="CB16"/>
  <c r="BU16"/>
  <c r="CW16"/>
  <c r="CP16"/>
  <c r="DD16"/>
  <c r="DK16"/>
  <c r="AB11" i="26"/>
  <c r="AF11" i="19"/>
  <c r="P11" i="4"/>
  <c r="AI11" i="28"/>
  <c r="AS15" i="3"/>
  <c r="AL51"/>
  <c r="BU12"/>
  <c r="CB23"/>
  <c r="BU23"/>
  <c r="DD23"/>
  <c r="DK23"/>
  <c r="CW23"/>
  <c r="CP23"/>
  <c r="AB17" i="26"/>
  <c r="AF17" i="19"/>
  <c r="AS21" i="3"/>
  <c r="P17" i="4"/>
  <c r="AI17" i="28"/>
  <c r="AL57" i="3"/>
  <c r="AF5" i="19"/>
  <c r="P5" i="4"/>
  <c r="AI5" i="28"/>
  <c r="AB5" i="26"/>
  <c r="AS9" i="3"/>
  <c r="AL45"/>
  <c r="BU24"/>
  <c r="CP24"/>
  <c r="DD24"/>
  <c r="CB24"/>
  <c r="DK24"/>
  <c r="CW24"/>
  <c r="AS20"/>
  <c r="AF16" i="19"/>
  <c r="AI16" i="28"/>
  <c r="AB16" i="26"/>
  <c r="P16" i="4"/>
  <c r="AL56" i="3"/>
  <c r="AF13" i="19"/>
  <c r="P13" i="4"/>
  <c r="AB13" i="26"/>
  <c r="AI13" i="28"/>
  <c r="AS17" i="3"/>
  <c r="AL53"/>
  <c r="C37" i="15"/>
  <c r="AU21" i="3"/>
  <c r="AN57"/>
  <c r="C25" i="15"/>
  <c r="AU9" i="3"/>
  <c r="AN45"/>
  <c r="BW26"/>
  <c r="C36" i="15"/>
  <c r="AN56" i="3"/>
  <c r="AU20"/>
  <c r="BW17"/>
  <c r="AU18"/>
  <c r="C34" i="15"/>
  <c r="AN54" i="3"/>
  <c r="AN44"/>
  <c r="C24" i="15"/>
  <c r="AU8" i="3"/>
  <c r="BW12"/>
  <c r="AN63"/>
  <c r="BP8" i="22"/>
  <c r="BW22"/>
  <c r="CK22"/>
  <c r="DM22"/>
  <c r="BB63" i="3"/>
  <c r="AU27"/>
  <c r="C43" i="15"/>
  <c r="BW10" i="3"/>
  <c r="AE12" i="25"/>
  <c r="BM15" i="22"/>
  <c r="AY15"/>
  <c r="BM18"/>
  <c r="AE15" i="25"/>
  <c r="AY18" i="22"/>
  <c r="BM11"/>
  <c r="AE8" i="25"/>
  <c r="AY11" i="22"/>
  <c r="AE10" i="25"/>
  <c r="BM13" i="22"/>
  <c r="AY13"/>
  <c r="BT21" i="3"/>
  <c r="U13" i="26"/>
  <c r="X13" i="19"/>
  <c r="AR17" i="3"/>
  <c r="Y13" i="28"/>
  <c r="L13" i="4"/>
  <c r="AK53" i="3"/>
  <c r="AR22"/>
  <c r="L18" i="4"/>
  <c r="U18" i="26"/>
  <c r="Y18" i="28"/>
  <c r="X18" i="19"/>
  <c r="AK58" i="3"/>
  <c r="L20" i="4"/>
  <c r="Y20" i="28"/>
  <c r="AR24" i="3"/>
  <c r="AK60"/>
  <c r="U20" i="26"/>
  <c r="X20" i="19"/>
  <c r="BT26" i="3"/>
  <c r="BT15"/>
  <c r="DC25"/>
  <c r="CV25"/>
  <c r="CO25"/>
  <c r="DJ25"/>
  <c r="CA25"/>
  <c r="BT25"/>
  <c r="BT12"/>
  <c r="AR18"/>
  <c r="AK54"/>
  <c r="U14" i="26"/>
  <c r="L14" i="4"/>
  <c r="Y14" i="28"/>
  <c r="X14" i="19"/>
  <c r="U15" i="26"/>
  <c r="AK55" i="3"/>
  <c r="L15" i="4"/>
  <c r="AR19" i="3"/>
  <c r="X15" i="19"/>
  <c r="Y15" i="28"/>
  <c r="BL38" i="3"/>
  <c r="F12" i="12"/>
  <c r="E12"/>
  <c r="F7"/>
  <c r="E7"/>
  <c r="BK40" i="3"/>
  <c r="AI19"/>
  <c r="BK19"/>
  <c r="BK23"/>
  <c r="AI23"/>
  <c r="AI8"/>
  <c r="BK8"/>
  <c r="AI21"/>
  <c r="BK21"/>
  <c r="AI10"/>
  <c r="BK10"/>
  <c r="AI22"/>
  <c r="BK22"/>
  <c r="AI20"/>
  <c r="BK20"/>
  <c r="BK24"/>
  <c r="AI24"/>
  <c r="BK15"/>
  <c r="AI15"/>
  <c r="AI25"/>
  <c r="BK25"/>
  <c r="CC11" i="22"/>
  <c r="BV11"/>
  <c r="CX11"/>
  <c r="CC15"/>
  <c r="CQ15"/>
  <c r="BV15"/>
  <c r="CC18"/>
  <c r="CQ18"/>
  <c r="BV18"/>
  <c r="CC22"/>
  <c r="BV22"/>
  <c r="CC19"/>
  <c r="BV19"/>
  <c r="CC21"/>
  <c r="CQ21"/>
  <c r="CX21"/>
  <c r="BV21"/>
  <c r="BL22"/>
  <c r="S19" i="25"/>
  <c r="AX22" i="22"/>
  <c r="BE22"/>
  <c r="O19" i="25"/>
  <c r="AX67" i="3"/>
  <c r="AR67"/>
  <c r="AR65"/>
  <c r="AX65"/>
  <c r="S5" i="25"/>
  <c r="BL8" i="22"/>
  <c r="AX8"/>
  <c r="BE8"/>
  <c r="O5" i="25"/>
  <c r="S15"/>
  <c r="BL18" i="22"/>
  <c r="AX18"/>
  <c r="BL19"/>
  <c r="S16" i="25"/>
  <c r="AX19" i="22"/>
  <c r="BS8" i="3"/>
  <c r="N23" i="19"/>
  <c r="H23" i="4"/>
  <c r="AQ27" i="3"/>
  <c r="L23" i="26"/>
  <c r="O23" i="28"/>
  <c r="AJ63" i="3"/>
  <c r="H21" i="4"/>
  <c r="L21" i="26"/>
  <c r="AQ25" i="3"/>
  <c r="O21" i="28"/>
  <c r="N21" i="19"/>
  <c r="AJ61" i="3"/>
  <c r="H5" i="4"/>
  <c r="AJ45" i="3"/>
  <c r="L5" i="26"/>
  <c r="AQ9" i="3"/>
  <c r="N5" i="19"/>
  <c r="O5" i="28"/>
  <c r="H13" i="4"/>
  <c r="AQ17" i="3"/>
  <c r="O13" i="28"/>
  <c r="N13" i="19"/>
  <c r="L13" i="26"/>
  <c r="AJ53" i="3"/>
  <c r="O12" i="28"/>
  <c r="AQ16" i="3"/>
  <c r="N12" i="19"/>
  <c r="AJ52" i="3"/>
  <c r="L12" i="26"/>
  <c r="H12" i="4"/>
  <c r="BS10" i="3"/>
  <c r="BS15"/>
  <c r="BS11"/>
  <c r="AJ50"/>
  <c r="AQ14"/>
  <c r="O10" i="28"/>
  <c r="N10" i="19"/>
  <c r="H10" i="4"/>
  <c r="L10" i="26"/>
  <c r="H11" i="25"/>
  <c r="AP14" i="22"/>
  <c r="H15" i="25"/>
  <c r="AP18" i="22"/>
  <c r="H8" i="25"/>
  <c r="AP11" i="22"/>
  <c r="AP19"/>
  <c r="H16" i="25"/>
  <c r="H5"/>
  <c r="AP8" i="22"/>
  <c r="AI67" i="3"/>
  <c r="AI66"/>
  <c r="AI65"/>
  <c r="AI68"/>
  <c r="AI64"/>
  <c r="H12" i="25"/>
  <c r="AP15" i="22"/>
  <c r="AP17"/>
  <c r="H14" i="25"/>
  <c r="AP9" i="22"/>
  <c r="H6" i="25"/>
  <c r="CD22" i="22"/>
  <c r="CY22"/>
  <c r="CR22"/>
  <c r="CD19"/>
  <c r="CD18"/>
  <c r="CR18"/>
  <c r="CD9"/>
  <c r="CY9"/>
  <c r="CD16"/>
  <c r="CY16"/>
  <c r="CD13"/>
  <c r="CY13"/>
  <c r="CD21"/>
  <c r="CY21"/>
  <c r="BM40" i="3"/>
  <c r="F21" i="12"/>
  <c r="E21"/>
  <c r="BN17" i="22"/>
  <c r="AO14" i="25"/>
  <c r="AZ17" i="22"/>
  <c r="AO12" i="25"/>
  <c r="BN15" i="22"/>
  <c r="AZ15"/>
  <c r="BN20"/>
  <c r="AO17" i="25"/>
  <c r="AZ20" i="22"/>
  <c r="AO13" i="25"/>
  <c r="BN16" i="22"/>
  <c r="AZ16"/>
  <c r="BG16"/>
  <c r="AK13" i="25"/>
  <c r="AO16"/>
  <c r="BN19" i="22"/>
  <c r="AZ19"/>
  <c r="P9" i="4"/>
  <c r="AI9" i="28"/>
  <c r="AB9" i="26"/>
  <c r="AS13" i="3"/>
  <c r="AF9" i="19"/>
  <c r="AL49" i="3"/>
  <c r="AI7" i="28"/>
  <c r="AS11" i="3"/>
  <c r="AB7" i="26"/>
  <c r="P7" i="4"/>
  <c r="AF7" i="19"/>
  <c r="AL47" i="3"/>
  <c r="P22" i="4"/>
  <c r="AB22" i="26"/>
  <c r="AS26" i="3"/>
  <c r="AI22" i="28"/>
  <c r="AF22" i="19"/>
  <c r="AL62" i="3"/>
  <c r="BU25"/>
  <c r="BU19"/>
  <c r="CB27"/>
  <c r="DR27"/>
  <c r="BU27"/>
  <c r="DK27"/>
  <c r="CW27"/>
  <c r="CP27"/>
  <c r="DD27"/>
  <c r="BU10"/>
  <c r="AS8"/>
  <c r="P4" i="4"/>
  <c r="AF4" i="19"/>
  <c r="AL44" i="3"/>
  <c r="AB4" i="26"/>
  <c r="AI4" i="28"/>
  <c r="BU22" i="3"/>
  <c r="AF10" i="19"/>
  <c r="AB10" i="26"/>
  <c r="AS14" i="3"/>
  <c r="AI10" i="28"/>
  <c r="P10" i="4"/>
  <c r="AL50" i="3"/>
  <c r="C29" i="15"/>
  <c r="AU13" i="3"/>
  <c r="AN49"/>
  <c r="AU22"/>
  <c r="C38" i="15"/>
  <c r="AN58" i="3"/>
  <c r="BW15"/>
  <c r="BW14"/>
  <c r="C40" i="15"/>
  <c r="AU24" i="3"/>
  <c r="AN60"/>
  <c r="BW19" i="22"/>
  <c r="BB19"/>
  <c r="CK19"/>
  <c r="DM19"/>
  <c r="BB60" i="3"/>
  <c r="BW25"/>
  <c r="AN47"/>
  <c r="C27" i="15"/>
  <c r="AU11" i="3"/>
  <c r="C32" i="15"/>
  <c r="AN52" i="3"/>
  <c r="AU16"/>
  <c r="AN55"/>
  <c r="C35" i="15"/>
  <c r="AU19" i="3"/>
  <c r="F14" i="12"/>
  <c r="E14"/>
  <c r="BL40" i="3"/>
  <c r="AS64"/>
  <c r="AY64"/>
  <c r="AS66"/>
  <c r="AY66"/>
  <c r="AS65"/>
  <c r="AY65"/>
  <c r="BM12" i="22"/>
  <c r="AE9" i="25"/>
  <c r="AY12" i="22"/>
  <c r="BF12"/>
  <c r="AA9" i="25"/>
  <c r="BM17" i="22"/>
  <c r="AE14" i="25"/>
  <c r="AY17" i="22"/>
  <c r="AR16" i="3"/>
  <c r="X12" i="19"/>
  <c r="Y12" i="28"/>
  <c r="L12" i="4"/>
  <c r="U12" i="26"/>
  <c r="AK52" i="3"/>
  <c r="DC13"/>
  <c r="CO13"/>
  <c r="DJ13"/>
  <c r="CV13"/>
  <c r="CA13"/>
  <c r="BT13"/>
  <c r="BT14"/>
  <c r="X23" i="19"/>
  <c r="L23" i="4"/>
  <c r="AK63" i="3"/>
  <c r="AR27"/>
  <c r="Y23" i="28"/>
  <c r="U23" i="26"/>
  <c r="L5" i="4"/>
  <c r="AR9" i="3"/>
  <c r="X5" i="19"/>
  <c r="Y5" i="28"/>
  <c r="U5" i="26"/>
  <c r="AK45" i="3"/>
  <c r="AK44"/>
  <c r="L4" i="4"/>
  <c r="U4" i="26"/>
  <c r="X4" i="19"/>
  <c r="Y4" i="28"/>
  <c r="AR8" i="3"/>
  <c r="Y6" i="28"/>
  <c r="U6" i="26"/>
  <c r="AR10" i="3"/>
  <c r="L6" i="4"/>
  <c r="AK46" i="3"/>
  <c r="X6" i="19"/>
  <c r="X7"/>
  <c r="AR11" i="3"/>
  <c r="AK47"/>
  <c r="U7" i="26"/>
  <c r="Y7" i="28"/>
  <c r="L7" i="4"/>
  <c r="BT20" i="3"/>
  <c r="BT23"/>
  <c r="BI11" i="22"/>
  <c r="BA14"/>
  <c r="BA17"/>
  <c r="CC9"/>
  <c r="BV9"/>
  <c r="CJ9"/>
  <c r="CQ9"/>
  <c r="DE9"/>
  <c r="DL9"/>
  <c r="AU65" i="3"/>
  <c r="BA65"/>
  <c r="BA64"/>
  <c r="AU64"/>
  <c r="AU68"/>
  <c r="BA68"/>
  <c r="CB10" i="22"/>
  <c r="S13" i="25"/>
  <c r="BL16" i="22"/>
  <c r="AX16"/>
  <c r="BE16"/>
  <c r="O13" i="25"/>
  <c r="L16" i="26"/>
  <c r="N16" i="19"/>
  <c r="O16" i="28"/>
  <c r="AQ20" i="3"/>
  <c r="H16" i="4"/>
  <c r="AJ56" i="3"/>
  <c r="N19" i="19"/>
  <c r="O19" i="28"/>
  <c r="H19" i="4"/>
  <c r="AQ23" i="3"/>
  <c r="L19" i="26"/>
  <c r="AJ59" i="3"/>
  <c r="N20" i="19"/>
  <c r="L20" i="26"/>
  <c r="AQ24" i="3"/>
  <c r="BZ24"/>
  <c r="O20" i="28"/>
  <c r="H20" i="4"/>
  <c r="AJ60" i="3"/>
  <c r="AQ21"/>
  <c r="H17" i="4"/>
  <c r="N17" i="19"/>
  <c r="O17" i="28"/>
  <c r="L17" i="26"/>
  <c r="AJ57" i="3"/>
  <c r="O22" i="28"/>
  <c r="N22" i="19"/>
  <c r="L22" i="26"/>
  <c r="H22" i="4"/>
  <c r="AQ26" i="3"/>
  <c r="AJ62"/>
  <c r="BZ19"/>
  <c r="DI19"/>
  <c r="CU19"/>
  <c r="DB19"/>
  <c r="CN19"/>
  <c r="BS19"/>
  <c r="BS13"/>
  <c r="BZ13"/>
  <c r="BS12"/>
  <c r="BZ12"/>
  <c r="CN12"/>
  <c r="N18" i="19"/>
  <c r="AQ22" i="3"/>
  <c r="BZ22"/>
  <c r="AJ58"/>
  <c r="O18" i="28"/>
  <c r="L18" i="26"/>
  <c r="H18" i="4"/>
  <c r="BS18" i="3"/>
  <c r="BZ18"/>
  <c r="CU18"/>
  <c r="CN18"/>
  <c r="F26" i="12"/>
  <c r="E26"/>
  <c r="BN37" i="3"/>
  <c r="AM16"/>
  <c r="BO16"/>
  <c r="AM14"/>
  <c r="BO14"/>
  <c r="AM25"/>
  <c r="BO25"/>
  <c r="AM26"/>
  <c r="BO26"/>
  <c r="AM15"/>
  <c r="BO15"/>
  <c r="AM13"/>
  <c r="BO13"/>
  <c r="AM8"/>
  <c r="BO8"/>
  <c r="AM17"/>
  <c r="BO17"/>
  <c r="AM10"/>
  <c r="BO10"/>
  <c r="AM9"/>
  <c r="BO9"/>
  <c r="BK39"/>
  <c r="F6" i="12"/>
  <c r="E6"/>
  <c r="CD10" i="22"/>
  <c r="CD14"/>
  <c r="CY14"/>
  <c r="CD12"/>
  <c r="CD11"/>
  <c r="CR11"/>
  <c r="CD15"/>
  <c r="CD17"/>
  <c r="CY17"/>
  <c r="CD20"/>
  <c r="CR20"/>
  <c r="N24" i="16"/>
  <c r="B39" i="15"/>
  <c r="E39"/>
  <c r="P24" i="16"/>
  <c r="F20" i="12"/>
  <c r="E20"/>
  <c r="BM39" i="3"/>
  <c r="BN11" i="22"/>
  <c r="AO8" i="25"/>
  <c r="AZ11" i="22"/>
  <c r="BG11"/>
  <c r="AK8" i="25"/>
  <c r="AO15"/>
  <c r="BN18" i="22"/>
  <c r="AZ18"/>
  <c r="BG18"/>
  <c r="AK15" i="25"/>
  <c r="AZ67" i="3"/>
  <c r="AT67"/>
  <c r="AZ66"/>
  <c r="AT66"/>
  <c r="BN8" i="22"/>
  <c r="BN13"/>
  <c r="BN21"/>
  <c r="BN22"/>
  <c r="BU9"/>
  <c r="AZ9"/>
  <c r="CI9"/>
  <c r="AO5" i="25"/>
  <c r="AZ8" i="22"/>
  <c r="BG8"/>
  <c r="AK5" i="25"/>
  <c r="AZ22" i="22"/>
  <c r="AO19" i="25"/>
  <c r="P14" i="4"/>
  <c r="AS18" i="3"/>
  <c r="AI14" i="28"/>
  <c r="AF14" i="19"/>
  <c r="AB14" i="26"/>
  <c r="AL54" i="3"/>
  <c r="AB12" i="26"/>
  <c r="P12" i="4"/>
  <c r="AI12" i="28"/>
  <c r="AS16" i="3"/>
  <c r="AF12" i="19"/>
  <c r="AL52" i="3"/>
  <c r="BU15"/>
  <c r="CB15"/>
  <c r="P8" i="4"/>
  <c r="AI8" i="28"/>
  <c r="AF8" i="19"/>
  <c r="AS12" i="3"/>
  <c r="AB8" i="26"/>
  <c r="AL48" i="3"/>
  <c r="AS23"/>
  <c r="AB19" i="26"/>
  <c r="P19" i="4"/>
  <c r="AI19" i="28"/>
  <c r="AF19" i="19"/>
  <c r="AL59" i="3"/>
  <c r="DK21"/>
  <c r="CP21"/>
  <c r="CW21"/>
  <c r="DD21"/>
  <c r="CB21"/>
  <c r="BU21"/>
  <c r="BU9"/>
  <c r="AF20" i="19"/>
  <c r="AS24" i="3"/>
  <c r="AB20" i="26"/>
  <c r="P20" i="4"/>
  <c r="AI20" i="28"/>
  <c r="AL60" i="3"/>
  <c r="BU20"/>
  <c r="BU17"/>
  <c r="CB17"/>
  <c r="CD21"/>
  <c r="CR21"/>
  <c r="CY21"/>
  <c r="BW21"/>
  <c r="CD9"/>
  <c r="CY9"/>
  <c r="CR9"/>
  <c r="BW9"/>
  <c r="AN62"/>
  <c r="BW21" i="22"/>
  <c r="BB21"/>
  <c r="CK21"/>
  <c r="DM21"/>
  <c r="BB62" i="3"/>
  <c r="AU26"/>
  <c r="C42" i="15"/>
  <c r="BW20" i="3"/>
  <c r="CD20"/>
  <c r="AN53"/>
  <c r="AU17"/>
  <c r="CD17"/>
  <c r="C33" i="15"/>
  <c r="BW18" i="3"/>
  <c r="CD18"/>
  <c r="BW8"/>
  <c r="CD8"/>
  <c r="AN48"/>
  <c r="C28" i="15"/>
  <c r="AU12" i="3"/>
  <c r="BW27"/>
  <c r="CD27"/>
  <c r="C26" i="15"/>
  <c r="AU10" i="3"/>
  <c r="AN46"/>
  <c r="BL37"/>
  <c r="F11" i="12"/>
  <c r="E11"/>
  <c r="BM10" i="22"/>
  <c r="AE7" i="25"/>
  <c r="AY10" i="22"/>
  <c r="AE17" i="25"/>
  <c r="BM20" i="22"/>
  <c r="AY20"/>
  <c r="BM9"/>
  <c r="AE6" i="25"/>
  <c r="AY9" i="22"/>
  <c r="BM19"/>
  <c r="AE16" i="25"/>
  <c r="AY19" i="22"/>
  <c r="BF19"/>
  <c r="AA16" i="25"/>
  <c r="L17" i="4"/>
  <c r="Y17" i="28"/>
  <c r="U17" i="26"/>
  <c r="X17" i="19"/>
  <c r="AK57" i="3"/>
  <c r="AR21"/>
  <c r="CA17"/>
  <c r="CO17"/>
  <c r="CV17"/>
  <c r="BT17"/>
  <c r="CA22"/>
  <c r="BT22"/>
  <c r="CA24"/>
  <c r="BT24"/>
  <c r="U22" i="26"/>
  <c r="Y22" i="28"/>
  <c r="AR26" i="3"/>
  <c r="L22" i="4"/>
  <c r="X22" i="19"/>
  <c r="AK62" i="3"/>
  <c r="X11" i="19"/>
  <c r="Y11" i="28"/>
  <c r="AK51" i="3"/>
  <c r="AR15"/>
  <c r="U11" i="26"/>
  <c r="L11" i="4"/>
  <c r="U21" i="26"/>
  <c r="Y21" i="28"/>
  <c r="X21" i="19"/>
  <c r="L21" i="4"/>
  <c r="AR25" i="3"/>
  <c r="AK61"/>
  <c r="AR12"/>
  <c r="CA12"/>
  <c r="AK48"/>
  <c r="Y8" i="28"/>
  <c r="L8" i="4"/>
  <c r="U8" i="26"/>
  <c r="X8" i="19"/>
  <c r="BT18" i="3"/>
  <c r="CA18"/>
  <c r="BT19"/>
  <c r="CA19"/>
  <c r="AI16"/>
  <c r="BK16"/>
  <c r="BK27"/>
  <c r="AI27"/>
  <c r="AI13"/>
  <c r="BK13"/>
  <c r="BK14"/>
  <c r="AI14"/>
  <c r="AI11"/>
  <c r="BK11"/>
  <c r="BK26"/>
  <c r="AI26"/>
  <c r="AI17"/>
  <c r="BK17"/>
  <c r="BK9"/>
  <c r="AI9"/>
  <c r="AI18"/>
  <c r="BK18"/>
  <c r="BK12"/>
  <c r="AI12"/>
  <c r="AP38"/>
  <c r="D5" i="12"/>
  <c r="CC14" i="22"/>
  <c r="CC17"/>
  <c r="CX17"/>
  <c r="CQ17"/>
  <c r="BV17"/>
  <c r="CJ17"/>
  <c r="DL17"/>
  <c r="DE17"/>
  <c r="BL10"/>
  <c r="S7" i="25"/>
  <c r="AX10" i="22"/>
  <c r="BE10"/>
  <c r="O7" i="25"/>
  <c r="S9"/>
  <c r="BL12" i="22"/>
  <c r="AX12"/>
  <c r="BE12"/>
  <c r="O9" i="25"/>
  <c r="AR64" i="3"/>
  <c r="AX64"/>
  <c r="AX66"/>
  <c r="AR66"/>
  <c r="AR68"/>
  <c r="AX68"/>
  <c r="AX20" i="22"/>
  <c r="BE20"/>
  <c r="O17" i="25"/>
  <c r="BL20" i="22"/>
  <c r="S17" i="25"/>
  <c r="AQ8" i="3"/>
  <c r="BZ8"/>
  <c r="O4" i="28"/>
  <c r="H4" i="4"/>
  <c r="L4" i="26"/>
  <c r="N4" i="19"/>
  <c r="AJ44" i="3"/>
  <c r="BZ27"/>
  <c r="CN27"/>
  <c r="BS27"/>
  <c r="DB25"/>
  <c r="BS25"/>
  <c r="BZ25"/>
  <c r="CU25"/>
  <c r="DI25"/>
  <c r="CN25"/>
  <c r="BS9"/>
  <c r="BS17"/>
  <c r="AQ10"/>
  <c r="AQ11"/>
  <c r="AQ15"/>
  <c r="AX17"/>
  <c r="CG17"/>
  <c r="DI17"/>
  <c r="BZ17"/>
  <c r="DB17"/>
  <c r="CN17"/>
  <c r="CU17"/>
  <c r="BS16"/>
  <c r="BZ16"/>
  <c r="CN16"/>
  <c r="CU16"/>
  <c r="H6" i="4"/>
  <c r="L6" i="26"/>
  <c r="O6" i="28"/>
  <c r="AJ46" i="3"/>
  <c r="N6" i="19"/>
  <c r="AJ51" i="3"/>
  <c r="BZ15"/>
  <c r="O11" i="28"/>
  <c r="L11" i="26"/>
  <c r="H11" i="4"/>
  <c r="N11" i="19"/>
  <c r="N7"/>
  <c r="L7" i="26"/>
  <c r="O7" i="28"/>
  <c r="AJ47" i="3"/>
  <c r="H7" i="4"/>
  <c r="BZ14" i="3"/>
  <c r="BS14"/>
  <c r="CN14"/>
  <c r="CU14"/>
  <c r="F28" i="12"/>
  <c r="E28"/>
  <c r="BN39" i="3"/>
  <c r="F29" i="12"/>
  <c r="E29"/>
  <c r="BN40" i="3"/>
  <c r="AP21" i="22"/>
  <c r="H18" i="25"/>
  <c r="AP13" i="22"/>
  <c r="H10" i="25"/>
  <c r="AP16" i="22"/>
  <c r="H13" i="25"/>
  <c r="AP22" i="22"/>
  <c r="H19" i="25"/>
  <c r="AP10" i="22"/>
  <c r="H7" i="25"/>
  <c r="AP12" i="22"/>
  <c r="H9" i="25"/>
  <c r="AP20" i="22"/>
  <c r="H17" i="25"/>
  <c r="BB8" i="22"/>
  <c r="BI8"/>
  <c r="F18" i="12"/>
  <c r="E18"/>
  <c r="BM37" i="3"/>
  <c r="AO10" i="25"/>
  <c r="AZ13" i="22"/>
  <c r="BG13"/>
  <c r="AK10" i="25"/>
  <c r="AO18"/>
  <c r="AZ21" i="22"/>
  <c r="BG21"/>
  <c r="AK18" i="25"/>
  <c r="BU13" i="3"/>
  <c r="CB13"/>
  <c r="CP13"/>
  <c r="CW13"/>
  <c r="BU11"/>
  <c r="CB11"/>
  <c r="CW11"/>
  <c r="BU26"/>
  <c r="CB26"/>
  <c r="AS25"/>
  <c r="AI21" i="28"/>
  <c r="AB21" i="26"/>
  <c r="AF21" i="19"/>
  <c r="P21" i="4"/>
  <c r="AL61" i="3"/>
  <c r="AI15" i="28"/>
  <c r="AS19" i="3"/>
  <c r="CB19"/>
  <c r="AF15" i="19"/>
  <c r="AB15" i="26"/>
  <c r="P15" i="4"/>
  <c r="AL55" i="3"/>
  <c r="AB23" i="26"/>
  <c r="AF23" i="19"/>
  <c r="AI23" i="28"/>
  <c r="P23" i="4"/>
  <c r="AS27" i="3"/>
  <c r="AL63"/>
  <c r="P6" i="4"/>
  <c r="AF6" i="19"/>
  <c r="AI6" i="28"/>
  <c r="AB6" i="26"/>
  <c r="AS10" i="3"/>
  <c r="AL46"/>
  <c r="BU8"/>
  <c r="CB8"/>
  <c r="AS22"/>
  <c r="AF18" i="19"/>
  <c r="P18" i="4"/>
  <c r="AB18" i="26"/>
  <c r="AI18" i="28"/>
  <c r="AL58" i="3"/>
  <c r="CB14"/>
  <c r="BU14"/>
  <c r="CW14"/>
  <c r="CP14"/>
  <c r="CD13"/>
  <c r="BW13"/>
  <c r="CD22"/>
  <c r="BW22"/>
  <c r="AU15"/>
  <c r="AN51"/>
  <c r="C31" i="15"/>
  <c r="AU14" i="3"/>
  <c r="C30" i="15"/>
  <c r="AN50" i="3"/>
  <c r="BW24"/>
  <c r="CD24"/>
  <c r="C41" i="15"/>
  <c r="AU25" i="3"/>
  <c r="AN61"/>
  <c r="BW20" i="22"/>
  <c r="CK20"/>
  <c r="DM20"/>
  <c r="BB61" i="3"/>
  <c r="BW11"/>
  <c r="CD11"/>
  <c r="BW16"/>
  <c r="CD16"/>
  <c r="BW19"/>
  <c r="CD19"/>
  <c r="BL39"/>
  <c r="F13" i="12"/>
  <c r="E13"/>
  <c r="BM16" i="22"/>
  <c r="AE13" i="25"/>
  <c r="AY16" i="22"/>
  <c r="BF16"/>
  <c r="AA13" i="25"/>
  <c r="BM22" i="22"/>
  <c r="AE19" i="25"/>
  <c r="AY22" i="22"/>
  <c r="BM8"/>
  <c r="AE5" i="25"/>
  <c r="AY8" i="22"/>
  <c r="BF8"/>
  <c r="AA5" i="25"/>
  <c r="AY67" i="3"/>
  <c r="AS67"/>
  <c r="AS68"/>
  <c r="AY68"/>
  <c r="AE11" i="25"/>
  <c r="BM14" i="22"/>
  <c r="AY14"/>
  <c r="BF14"/>
  <c r="AA11" i="25"/>
  <c r="BM21" i="22"/>
  <c r="AE18" i="25"/>
  <c r="AY21" i="22"/>
  <c r="BF21"/>
  <c r="AA18" i="25"/>
  <c r="CA16" i="3"/>
  <c r="CV16"/>
  <c r="CO16"/>
  <c r="BT16"/>
  <c r="AR13"/>
  <c r="Y9" i="28"/>
  <c r="L9" i="4"/>
  <c r="U9" i="26"/>
  <c r="X9" i="19"/>
  <c r="AK49" i="3"/>
  <c r="Y10" i="28"/>
  <c r="U10" i="26"/>
  <c r="X10" i="19"/>
  <c r="AR14" i="3"/>
  <c r="L10" i="4"/>
  <c r="AK50" i="3"/>
  <c r="CA27"/>
  <c r="DQ27"/>
  <c r="CO27"/>
  <c r="DJ27"/>
  <c r="DC27"/>
  <c r="CV27"/>
  <c r="BT27"/>
  <c r="CO9"/>
  <c r="DC9"/>
  <c r="CA9"/>
  <c r="DJ9"/>
  <c r="CV9"/>
  <c r="BT9"/>
  <c r="CA8"/>
  <c r="CO8"/>
  <c r="BT8"/>
  <c r="CA10"/>
  <c r="CO10"/>
  <c r="CV10"/>
  <c r="BT10"/>
  <c r="CA11"/>
  <c r="BT11"/>
  <c r="CV11"/>
  <c r="DJ11"/>
  <c r="CO11"/>
  <c r="DC11"/>
  <c r="AR20"/>
  <c r="U16" i="26"/>
  <c r="X16" i="19"/>
  <c r="Y16" i="28"/>
  <c r="L16" i="4"/>
  <c r="AK56" i="3"/>
  <c r="AR23"/>
  <c r="AK59"/>
  <c r="Y19" i="28"/>
  <c r="X19" i="19"/>
  <c r="L19" i="4"/>
  <c r="U19" i="26"/>
  <c r="BA12" i="22"/>
  <c r="BA10"/>
  <c r="BH9"/>
  <c r="BA13"/>
  <c r="BH13"/>
  <c r="BA16"/>
  <c r="BA20"/>
  <c r="BG9"/>
  <c r="AK6" i="25"/>
  <c r="BA11" i="22"/>
  <c r="BA15"/>
  <c r="BH15"/>
  <c r="BA18"/>
  <c r="BA22"/>
  <c r="BA19"/>
  <c r="BA21"/>
  <c r="BH21"/>
  <c r="BB18"/>
  <c r="BI19"/>
  <c r="BB9"/>
  <c r="BI9"/>
  <c r="BB16"/>
  <c r="BI16"/>
  <c r="BB13"/>
  <c r="BI13"/>
  <c r="BI21"/>
  <c r="CP19" i="3"/>
  <c r="CW19"/>
  <c r="CU8"/>
  <c r="CN8"/>
  <c r="CO12"/>
  <c r="CV12"/>
  <c r="CR17"/>
  <c r="CY17"/>
  <c r="DK9" i="22"/>
  <c r="AI6" i="25"/>
  <c r="DD9" i="22"/>
  <c r="AL6" i="25"/>
  <c r="CN22" i="3"/>
  <c r="CU22"/>
  <c r="CN24"/>
  <c r="CU24"/>
  <c r="CN15"/>
  <c r="CU15"/>
  <c r="M19" i="4"/>
  <c r="AY23" i="3"/>
  <c r="Z19" i="28"/>
  <c r="Y19" i="19"/>
  <c r="V19" i="26"/>
  <c r="Y16" i="19"/>
  <c r="AY20" i="3"/>
  <c r="Z16" i="28"/>
  <c r="V16" i="26"/>
  <c r="M16" i="4"/>
  <c r="Z7" i="19"/>
  <c r="W7" i="26"/>
  <c r="AA7" i="28"/>
  <c r="X7" i="26"/>
  <c r="AB7" i="28"/>
  <c r="AA7" i="19"/>
  <c r="AA6"/>
  <c r="X6" i="26"/>
  <c r="AB6" i="28"/>
  <c r="W6" i="26"/>
  <c r="Z6" i="19"/>
  <c r="AA6" i="28"/>
  <c r="W4" i="26"/>
  <c r="AA4" i="28"/>
  <c r="Z4" i="19"/>
  <c r="S5" i="26"/>
  <c r="U5" i="19"/>
  <c r="AF5" i="28"/>
  <c r="V5" i="19"/>
  <c r="AE5" i="28"/>
  <c r="AE23"/>
  <c r="V23" i="19"/>
  <c r="AA23" i="28"/>
  <c r="W23" i="26"/>
  <c r="Z23" i="19"/>
  <c r="V10" i="26"/>
  <c r="Y10" i="19"/>
  <c r="Z10" i="28"/>
  <c r="M10" i="4"/>
  <c r="AY14" i="3"/>
  <c r="AY49"/>
  <c r="AD9" i="28"/>
  <c r="AS49" i="3"/>
  <c r="AC9" i="28"/>
  <c r="AB12"/>
  <c r="AA12" i="19"/>
  <c r="X12" i="26"/>
  <c r="CA21" i="22"/>
  <c r="CO21"/>
  <c r="AF18" i="25"/>
  <c r="BT21" i="22"/>
  <c r="CH21"/>
  <c r="DC21"/>
  <c r="AB18" i="25"/>
  <c r="DJ21" i="22"/>
  <c r="Y18" i="25"/>
  <c r="CA14" i="22"/>
  <c r="BT14"/>
  <c r="CH14"/>
  <c r="DJ14"/>
  <c r="DC14"/>
  <c r="AB11" i="25"/>
  <c r="CA8" i="22"/>
  <c r="CV8"/>
  <c r="AG5" i="25"/>
  <c r="BT8" i="22"/>
  <c r="CH8"/>
  <c r="DJ8"/>
  <c r="Y5" i="25"/>
  <c r="DC8" i="22"/>
  <c r="AB5" i="25"/>
  <c r="CA16" i="22"/>
  <c r="BT16"/>
  <c r="CH16"/>
  <c r="DC16"/>
  <c r="DJ16"/>
  <c r="Y13" i="25"/>
  <c r="BB25" i="3"/>
  <c r="D41" i="15"/>
  <c r="O26" i="16"/>
  <c r="CY24" i="3"/>
  <c r="CR24"/>
  <c r="BB14"/>
  <c r="D30" i="15"/>
  <c r="O15" i="16"/>
  <c r="AK10" i="28"/>
  <c r="AH10" i="19"/>
  <c r="AD10" i="26"/>
  <c r="AL10" i="28"/>
  <c r="AI10" i="19"/>
  <c r="AE10" i="26"/>
  <c r="AG6" i="19"/>
  <c r="Q6" i="4"/>
  <c r="AZ10" i="3"/>
  <c r="AJ6" i="28"/>
  <c r="AC6" i="26"/>
  <c r="AJ23" i="28"/>
  <c r="Q23" i="4"/>
  <c r="AZ27" i="3"/>
  <c r="AC23" i="26"/>
  <c r="AG23" i="19"/>
  <c r="Q21" i="4"/>
  <c r="AJ21" i="28"/>
  <c r="AZ25" i="3"/>
  <c r="AG21" i="19"/>
  <c r="AC21" i="26"/>
  <c r="AE7"/>
  <c r="AI7" i="19"/>
  <c r="AL7" i="28"/>
  <c r="CP11" i="3"/>
  <c r="AI9" i="19"/>
  <c r="AL9" i="28"/>
  <c r="AE9" i="26"/>
  <c r="BU21" i="22"/>
  <c r="CI21"/>
  <c r="DK21"/>
  <c r="AI18" i="25"/>
  <c r="DD21" i="22"/>
  <c r="AL18" i="25"/>
  <c r="CB21" i="22"/>
  <c r="CW21"/>
  <c r="AQ18" i="25"/>
  <c r="BW8" i="22"/>
  <c r="CK8"/>
  <c r="DM8"/>
  <c r="BB44" i="3"/>
  <c r="DF8" i="22"/>
  <c r="CD8"/>
  <c r="CR8"/>
  <c r="BK20"/>
  <c r="AW20"/>
  <c r="I17" i="25"/>
  <c r="I9"/>
  <c r="BK12" i="22"/>
  <c r="AW12"/>
  <c r="I7" i="25"/>
  <c r="AW10" i="22"/>
  <c r="BK10"/>
  <c r="I19" i="25"/>
  <c r="BK22" i="22"/>
  <c r="AW22"/>
  <c r="BK16"/>
  <c r="I13" i="25"/>
  <c r="AW16" i="22"/>
  <c r="BK13"/>
  <c r="I10" i="25"/>
  <c r="AW13" i="22"/>
  <c r="I18" i="25"/>
  <c r="AW21" i="22"/>
  <c r="BD21"/>
  <c r="E18" i="25"/>
  <c r="BK21" i="22"/>
  <c r="R10" i="28"/>
  <c r="Q10" i="19"/>
  <c r="O10" i="26"/>
  <c r="P10" i="19"/>
  <c r="N10" i="26"/>
  <c r="Q10" i="28"/>
  <c r="BZ11" i="3"/>
  <c r="P7" i="28"/>
  <c r="M7" i="26"/>
  <c r="O7" i="19"/>
  <c r="I7" i="4"/>
  <c r="AX11" i="3"/>
  <c r="O6" i="19"/>
  <c r="I6" i="4"/>
  <c r="M6" i="26"/>
  <c r="P6" i="28"/>
  <c r="AX10" i="3"/>
  <c r="Q12" i="19"/>
  <c r="O12" i="26"/>
  <c r="R12" i="28"/>
  <c r="N12" i="26"/>
  <c r="P12" i="19"/>
  <c r="Q12" i="28"/>
  <c r="R13"/>
  <c r="O13" i="26"/>
  <c r="Q13" i="19"/>
  <c r="U13" i="28"/>
  <c r="L13" i="19"/>
  <c r="V13" i="28"/>
  <c r="K13" i="19"/>
  <c r="J13" i="26"/>
  <c r="Q21" i="28"/>
  <c r="N21" i="26"/>
  <c r="P21" i="19"/>
  <c r="O21" i="26"/>
  <c r="R21" i="28"/>
  <c r="Q21" i="19"/>
  <c r="Q23" i="28"/>
  <c r="P23" i="19"/>
  <c r="N23" i="26"/>
  <c r="BZ12" i="22"/>
  <c r="CN12"/>
  <c r="T9" i="25"/>
  <c r="CU12" i="22"/>
  <c r="U9" i="25"/>
  <c r="BS12" i="22"/>
  <c r="CG12"/>
  <c r="DI12"/>
  <c r="DB12"/>
  <c r="BZ10"/>
  <c r="CN10"/>
  <c r="T7" i="25"/>
  <c r="BS10" i="22"/>
  <c r="CG10"/>
  <c r="DI10"/>
  <c r="DB10"/>
  <c r="AP12" i="3"/>
  <c r="F8" i="19"/>
  <c r="D8" i="4"/>
  <c r="E8" i="26"/>
  <c r="E8" i="28"/>
  <c r="J10" i="6"/>
  <c r="AI48" i="3"/>
  <c r="BR18"/>
  <c r="AP18"/>
  <c r="AP8"/>
  <c r="AP9"/>
  <c r="AP10"/>
  <c r="AP11"/>
  <c r="AP13"/>
  <c r="AP14"/>
  <c r="AP15"/>
  <c r="AP16"/>
  <c r="AP17"/>
  <c r="AP19"/>
  <c r="AP20"/>
  <c r="AP21"/>
  <c r="AP22"/>
  <c r="AP23"/>
  <c r="AP24"/>
  <c r="AP25"/>
  <c r="AP26"/>
  <c r="AP27"/>
  <c r="AW18"/>
  <c r="CF18"/>
  <c r="DA18"/>
  <c r="BY18"/>
  <c r="CM18"/>
  <c r="CT18"/>
  <c r="DH18"/>
  <c r="E5" i="26"/>
  <c r="D5" i="4"/>
  <c r="F5" i="19"/>
  <c r="J7" i="6"/>
  <c r="E5" i="28"/>
  <c r="AI45" i="3"/>
  <c r="BR17"/>
  <c r="J24" i="6"/>
  <c r="E22" i="28"/>
  <c r="F22" i="19"/>
  <c r="D22" i="4"/>
  <c r="E22" i="26"/>
  <c r="AI62" i="3"/>
  <c r="BR11"/>
  <c r="F10" i="19"/>
  <c r="E10" i="28"/>
  <c r="E10" i="26"/>
  <c r="D10" i="4"/>
  <c r="J12" i="6"/>
  <c r="AI50" i="3"/>
  <c r="BR13"/>
  <c r="D23" i="4"/>
  <c r="E23" i="26"/>
  <c r="F23" i="19"/>
  <c r="J25" i="6"/>
  <c r="E23" i="28"/>
  <c r="AI63" i="3"/>
  <c r="BR16"/>
  <c r="CO19"/>
  <c r="CV19"/>
  <c r="CV18"/>
  <c r="CO18"/>
  <c r="AS61"/>
  <c r="AC21" i="28"/>
  <c r="AY61" i="3"/>
  <c r="AD21" i="28"/>
  <c r="M11" i="4"/>
  <c r="V11" i="26"/>
  <c r="Z11" i="28"/>
  <c r="Y11" i="19"/>
  <c r="AY15" i="3"/>
  <c r="W13" i="26"/>
  <c r="AA13" i="28"/>
  <c r="Z13" i="19"/>
  <c r="Z17" i="28"/>
  <c r="Y17" i="19"/>
  <c r="M17" i="4"/>
  <c r="V17" i="26"/>
  <c r="AY21" i="3"/>
  <c r="CA19" i="22"/>
  <c r="BT19"/>
  <c r="CH19"/>
  <c r="DJ19"/>
  <c r="Y16" i="25"/>
  <c r="CO19" i="22"/>
  <c r="AF16" i="25"/>
  <c r="N11" i="16"/>
  <c r="B26" i="15"/>
  <c r="E26"/>
  <c r="P11" i="16"/>
  <c r="N13"/>
  <c r="B28" i="15"/>
  <c r="E28"/>
  <c r="P13" i="16"/>
  <c r="CR8" i="3"/>
  <c r="CY8"/>
  <c r="CR18"/>
  <c r="CY18"/>
  <c r="N18" i="16"/>
  <c r="B33" i="15"/>
  <c r="E33"/>
  <c r="P18" i="16"/>
  <c r="BB26" i="3"/>
  <c r="D42" i="15"/>
  <c r="O27" i="16"/>
  <c r="AO17" i="28"/>
  <c r="AD17" i="19"/>
  <c r="AD17" i="26"/>
  <c r="AK17" i="28"/>
  <c r="AH17" i="19"/>
  <c r="AZ59" i="3"/>
  <c r="AN19" i="28"/>
  <c r="AT59" i="3"/>
  <c r="AM19" i="28"/>
  <c r="AJ8"/>
  <c r="AG8" i="19"/>
  <c r="AZ12" i="3"/>
  <c r="Q8" i="4"/>
  <c r="AC8" i="26"/>
  <c r="AT52" i="3"/>
  <c r="AM12" i="28"/>
  <c r="AZ52" i="3"/>
  <c r="AN12" i="28"/>
  <c r="AG12" i="19"/>
  <c r="Q12" i="4"/>
  <c r="AC12" i="26"/>
  <c r="AJ12" i="28"/>
  <c r="AZ16" i="3"/>
  <c r="AG14" i="19"/>
  <c r="AC14" i="26"/>
  <c r="Q14" i="4"/>
  <c r="AJ14" i="28"/>
  <c r="AZ18" i="3"/>
  <c r="CB22" i="22"/>
  <c r="BU22"/>
  <c r="CI22"/>
  <c r="DD22"/>
  <c r="AL19" i="25"/>
  <c r="DK22" i="22"/>
  <c r="AI19" i="25"/>
  <c r="CP22" i="22"/>
  <c r="AP19" i="25"/>
  <c r="CY20" i="22"/>
  <c r="DT20"/>
  <c r="CY12"/>
  <c r="DT12"/>
  <c r="CR10"/>
  <c r="DT10"/>
  <c r="D8" i="9"/>
  <c r="AT9" i="3"/>
  <c r="AM45"/>
  <c r="AT10"/>
  <c r="D9" i="9"/>
  <c r="AM46" i="3"/>
  <c r="AT17"/>
  <c r="D16" i="9"/>
  <c r="AM53" i="3"/>
  <c r="AT8"/>
  <c r="D7" i="9"/>
  <c r="AM44" i="3"/>
  <c r="D12" i="9"/>
  <c r="AT13" i="3"/>
  <c r="AM49"/>
  <c r="D14" i="9"/>
  <c r="AT15" i="3"/>
  <c r="AM51"/>
  <c r="D25" i="9"/>
  <c r="AT26" i="3"/>
  <c r="AM62"/>
  <c r="AT25"/>
  <c r="D24" i="9"/>
  <c r="AM61" i="3"/>
  <c r="AT14"/>
  <c r="D13" i="9"/>
  <c r="AM50" i="3"/>
  <c r="AT16"/>
  <c r="D15" i="9"/>
  <c r="AM52" i="3"/>
  <c r="N14" i="26"/>
  <c r="Q14" i="28"/>
  <c r="P14" i="19"/>
  <c r="O14" i="26"/>
  <c r="R14" i="28"/>
  <c r="Q14" i="19"/>
  <c r="Q8" i="28"/>
  <c r="P8" i="19"/>
  <c r="N8" i="26"/>
  <c r="L15" i="19"/>
  <c r="U15" i="28"/>
  <c r="J15" i="26"/>
  <c r="V15" i="28"/>
  <c r="K15" i="19"/>
  <c r="AX57" i="3"/>
  <c r="T17" i="28"/>
  <c r="AR57" i="3"/>
  <c r="S17" i="28"/>
  <c r="AR59" i="3"/>
  <c r="S19" i="28"/>
  <c r="AX59" i="3"/>
  <c r="T19" i="28"/>
  <c r="P19"/>
  <c r="I19" i="4"/>
  <c r="O19" i="19"/>
  <c r="M19" i="26"/>
  <c r="AX23" i="3"/>
  <c r="I16" i="4"/>
  <c r="M16" i="26"/>
  <c r="AX20" i="3"/>
  <c r="P16" i="28"/>
  <c r="O16" i="19"/>
  <c r="CX9" i="22"/>
  <c r="AS47" i="3"/>
  <c r="AC7" i="28"/>
  <c r="AY47" i="3"/>
  <c r="AD7" i="28"/>
  <c r="M6" i="4"/>
  <c r="Y6" i="19"/>
  <c r="Z6" i="28"/>
  <c r="V6" i="26"/>
  <c r="AY10" i="3"/>
  <c r="AY44"/>
  <c r="AD4" i="28"/>
  <c r="AS44" i="3"/>
  <c r="AC4" i="28"/>
  <c r="AY63" i="3"/>
  <c r="AD23" i="28"/>
  <c r="AS63" i="3"/>
  <c r="AC23" i="28"/>
  <c r="S9" i="26"/>
  <c r="AF9" i="28"/>
  <c r="U9" i="19"/>
  <c r="V9"/>
  <c r="AE9" i="28"/>
  <c r="Z12"/>
  <c r="M12" i="4"/>
  <c r="V12" i="26"/>
  <c r="Y12" i="19"/>
  <c r="AY16" i="3"/>
  <c r="CA12" i="22"/>
  <c r="CO12"/>
  <c r="AF9" i="25"/>
  <c r="BT12" i="22"/>
  <c r="CH12"/>
  <c r="DC12"/>
  <c r="AB9" i="25"/>
  <c r="DJ12" i="22"/>
  <c r="Y9" i="25"/>
  <c r="N20" i="16"/>
  <c r="B35" i="15"/>
  <c r="E35"/>
  <c r="P20" i="16"/>
  <c r="BB16" i="3"/>
  <c r="D32" i="15"/>
  <c r="O17" i="16"/>
  <c r="N17"/>
  <c r="B32" i="15"/>
  <c r="E32"/>
  <c r="P17" i="16"/>
  <c r="N12"/>
  <c r="B27" i="15"/>
  <c r="E27"/>
  <c r="P12" i="16"/>
  <c r="N25"/>
  <c r="B40" i="15"/>
  <c r="E40"/>
  <c r="P25" i="16"/>
  <c r="D38" i="15"/>
  <c r="O23" i="16"/>
  <c r="BB22" i="3"/>
  <c r="D29" i="15"/>
  <c r="O14" i="16"/>
  <c r="BB13" i="3"/>
  <c r="AK23" i="28"/>
  <c r="AH23" i="19"/>
  <c r="AD23" i="26"/>
  <c r="AP23" i="28"/>
  <c r="Z23" i="26"/>
  <c r="AC23" i="19"/>
  <c r="AG22"/>
  <c r="AJ22" i="28"/>
  <c r="Q22" i="4"/>
  <c r="AC22" i="26"/>
  <c r="AZ26" i="3"/>
  <c r="BG26"/>
  <c r="CB19" i="22"/>
  <c r="BU19"/>
  <c r="CI19"/>
  <c r="DK19"/>
  <c r="DD19"/>
  <c r="AL16" i="25"/>
  <c r="CR13" i="22"/>
  <c r="DT13"/>
  <c r="CR16"/>
  <c r="DT16"/>
  <c r="CR19"/>
  <c r="DT19"/>
  <c r="I6" i="25"/>
  <c r="AW9" i="22"/>
  <c r="AW8"/>
  <c r="BD9"/>
  <c r="E6" i="25"/>
  <c r="BK9" i="22"/>
  <c r="BK17"/>
  <c r="I14" i="25"/>
  <c r="AW17" i="22"/>
  <c r="AW18"/>
  <c r="BD17"/>
  <c r="E14" i="25"/>
  <c r="AQ68" i="3"/>
  <c r="AW68"/>
  <c r="AW66"/>
  <c r="AQ66"/>
  <c r="I5" i="25"/>
  <c r="BK8" i="22"/>
  <c r="BD8"/>
  <c r="E5" i="25"/>
  <c r="I8"/>
  <c r="BK11" i="22"/>
  <c r="AW11"/>
  <c r="BD11"/>
  <c r="E8" i="25"/>
  <c r="BK18" i="22"/>
  <c r="I15" i="25"/>
  <c r="BK14" i="22"/>
  <c r="I11" i="25"/>
  <c r="AW14" i="22"/>
  <c r="I10" i="4"/>
  <c r="O10" i="19"/>
  <c r="AX14" i="3"/>
  <c r="P10" i="28"/>
  <c r="M10" i="26"/>
  <c r="P12" i="28"/>
  <c r="AX16" i="3"/>
  <c r="O12" i="19"/>
  <c r="I12" i="4"/>
  <c r="M12" i="26"/>
  <c r="BS16" i="22"/>
  <c r="CG16"/>
  <c r="DB16"/>
  <c r="AR53" i="3"/>
  <c r="S13" i="28"/>
  <c r="DI16" i="22"/>
  <c r="AX53" i="3"/>
  <c r="T13" i="28"/>
  <c r="M13" i="26"/>
  <c r="I13" i="4"/>
  <c r="O13" i="19"/>
  <c r="P13" i="28"/>
  <c r="BZ9" i="3"/>
  <c r="AX9"/>
  <c r="P5" i="28"/>
  <c r="I5" i="4"/>
  <c r="O5" i="19"/>
  <c r="M5" i="26"/>
  <c r="AR61" i="3"/>
  <c r="S21" i="28"/>
  <c r="AX61" i="3"/>
  <c r="T21" i="28"/>
  <c r="BZ19" i="22"/>
  <c r="BS19"/>
  <c r="CG19"/>
  <c r="DB19"/>
  <c r="DI19"/>
  <c r="BZ18"/>
  <c r="CU18"/>
  <c r="U15" i="25"/>
  <c r="BS18" i="22"/>
  <c r="CG18"/>
  <c r="DI18"/>
  <c r="DB18"/>
  <c r="CQ11"/>
  <c r="F21" i="19"/>
  <c r="E21" i="28"/>
  <c r="E21" i="26"/>
  <c r="AI61" i="3"/>
  <c r="D21" i="4"/>
  <c r="J23" i="6"/>
  <c r="BR15" i="3"/>
  <c r="BR24"/>
  <c r="D16" i="4"/>
  <c r="E16" i="26"/>
  <c r="J18" i="6"/>
  <c r="E16" i="28"/>
  <c r="F16" i="19"/>
  <c r="AI56" i="3"/>
  <c r="F18" i="19"/>
  <c r="D18" i="4"/>
  <c r="E18" i="28"/>
  <c r="E18" i="26"/>
  <c r="J20" i="6"/>
  <c r="AI58" i="3"/>
  <c r="E6" i="28"/>
  <c r="D6" i="4"/>
  <c r="J8" i="6"/>
  <c r="E6" i="26"/>
  <c r="F6" i="19"/>
  <c r="AI46" i="3"/>
  <c r="J19" i="6"/>
  <c r="E17" i="28"/>
  <c r="D17" i="4"/>
  <c r="E17" i="26"/>
  <c r="F17" i="19"/>
  <c r="AI57" i="3"/>
  <c r="E4" i="26"/>
  <c r="F4" i="19"/>
  <c r="D4" i="4"/>
  <c r="E4" i="28"/>
  <c r="J6" i="6"/>
  <c r="AI44" i="3"/>
  <c r="BY23"/>
  <c r="CM23"/>
  <c r="BR23"/>
  <c r="AW23"/>
  <c r="CF23"/>
  <c r="DA23"/>
  <c r="CT23"/>
  <c r="DH23"/>
  <c r="F15" i="19"/>
  <c r="D15" i="4"/>
  <c r="E15" i="26"/>
  <c r="E15" i="28"/>
  <c r="J17" i="6"/>
  <c r="AI55" i="3"/>
  <c r="M14" i="4"/>
  <c r="AY18" i="3"/>
  <c r="Z14" i="28"/>
  <c r="V14" i="26"/>
  <c r="Y14" i="19"/>
  <c r="S21" i="26"/>
  <c r="U21" i="19"/>
  <c r="AF21" i="28"/>
  <c r="AB21"/>
  <c r="X21" i="26"/>
  <c r="AA21" i="19"/>
  <c r="AY60" i="3"/>
  <c r="AD20" i="28"/>
  <c r="AS60" i="3"/>
  <c r="AC20" i="28"/>
  <c r="AY58" i="3"/>
  <c r="AD18" i="28"/>
  <c r="AS53" i="3"/>
  <c r="AC13" i="28"/>
  <c r="CA13" i="22"/>
  <c r="BT13"/>
  <c r="CH13"/>
  <c r="DJ13"/>
  <c r="DC13"/>
  <c r="AB10" i="25"/>
  <c r="CA11" i="22"/>
  <c r="CV11"/>
  <c r="AG8" i="25"/>
  <c r="BT11" i="22"/>
  <c r="CH11"/>
  <c r="DJ11"/>
  <c r="Y8" i="25"/>
  <c r="DC11" i="22"/>
  <c r="AB8" i="25"/>
  <c r="B43" i="15"/>
  <c r="E43"/>
  <c r="P28" i="16"/>
  <c r="N28"/>
  <c r="BB8" i="3"/>
  <c r="BB9"/>
  <c r="BI8"/>
  <c r="D24" i="15"/>
  <c r="O9" i="16"/>
  <c r="N19"/>
  <c r="B34" i="15"/>
  <c r="E34"/>
  <c r="P19" i="16"/>
  <c r="D25" i="15"/>
  <c r="O10" i="16"/>
  <c r="B37" i="15"/>
  <c r="E37"/>
  <c r="P22" i="16"/>
  <c r="N22"/>
  <c r="AG13" i="19"/>
  <c r="AJ13" i="28"/>
  <c r="Q13" i="4"/>
  <c r="AC13" i="26"/>
  <c r="AZ17" i="3"/>
  <c r="BG17"/>
  <c r="CB20"/>
  <c r="Q16" i="4"/>
  <c r="AJ16" i="28"/>
  <c r="AC16" i="26"/>
  <c r="AG16" i="19"/>
  <c r="AZ20" i="3"/>
  <c r="AP20" i="28"/>
  <c r="Z20" i="26"/>
  <c r="AC20" i="19"/>
  <c r="AO20" i="28"/>
  <c r="AD20" i="19"/>
  <c r="CB9" i="3"/>
  <c r="Q5" i="4"/>
  <c r="AJ5" i="28"/>
  <c r="AC5" i="26"/>
  <c r="AZ9" i="3"/>
  <c r="AG5" i="19"/>
  <c r="AJ17" i="28"/>
  <c r="Q17" i="4"/>
  <c r="AC17" i="26"/>
  <c r="AG17" i="19"/>
  <c r="AZ21" i="3"/>
  <c r="AI19" i="19"/>
  <c r="AL19" i="28"/>
  <c r="AE19" i="26"/>
  <c r="AO19" i="28"/>
  <c r="AD19" i="19"/>
  <c r="AC12"/>
  <c r="AP12" i="28"/>
  <c r="Z12" i="26"/>
  <c r="AD12"/>
  <c r="AH12" i="19"/>
  <c r="AK12" i="28"/>
  <c r="CB12" i="22"/>
  <c r="CW12"/>
  <c r="AQ9" i="25"/>
  <c r="BU12" i="22"/>
  <c r="CI12"/>
  <c r="DK12"/>
  <c r="DD12"/>
  <c r="CB14"/>
  <c r="CW14"/>
  <c r="AQ11" i="25"/>
  <c r="BU14" i="22"/>
  <c r="CI14"/>
  <c r="DK14"/>
  <c r="AI11" i="25"/>
  <c r="DD14" i="22"/>
  <c r="AL11" i="25"/>
  <c r="D19" i="9"/>
  <c r="AT20" i="3"/>
  <c r="AM56"/>
  <c r="AT22"/>
  <c r="D21" i="9"/>
  <c r="AM58" i="3"/>
  <c r="AT12"/>
  <c r="D11" i="9"/>
  <c r="AM48" i="3"/>
  <c r="D18" i="9"/>
  <c r="AT19" i="3"/>
  <c r="AM55"/>
  <c r="AT27"/>
  <c r="D26" i="9"/>
  <c r="AM63" i="3"/>
  <c r="D17" i="9"/>
  <c r="AT18" i="3"/>
  <c r="AM54"/>
  <c r="D10" i="9"/>
  <c r="AT11" i="3"/>
  <c r="AM47"/>
  <c r="D23" i="9"/>
  <c r="AT24" i="3"/>
  <c r="AM60"/>
  <c r="AT23"/>
  <c r="D22" i="9"/>
  <c r="AM59" i="3"/>
  <c r="AT21"/>
  <c r="D20" i="9"/>
  <c r="AM57" i="3"/>
  <c r="I14" i="4"/>
  <c r="P14" i="28"/>
  <c r="AX18" i="3"/>
  <c r="O14" i="19"/>
  <c r="M14" i="26"/>
  <c r="K17" i="19"/>
  <c r="V17" i="28"/>
  <c r="J17" i="26"/>
  <c r="U17" i="28"/>
  <c r="L17" i="19"/>
  <c r="N19" i="26"/>
  <c r="Q19" i="28"/>
  <c r="P19" i="19"/>
  <c r="L19"/>
  <c r="U19" i="28"/>
  <c r="BS21" i="22"/>
  <c r="CG21"/>
  <c r="DB21"/>
  <c r="P18" i="25"/>
  <c r="BZ21" i="22"/>
  <c r="DI21"/>
  <c r="CN21"/>
  <c r="T18" i="25"/>
  <c r="BZ17" i="22"/>
  <c r="CN17"/>
  <c r="T14" i="25"/>
  <c r="BS17" i="22"/>
  <c r="CG17"/>
  <c r="DB17"/>
  <c r="DI17"/>
  <c r="BZ13"/>
  <c r="BS13"/>
  <c r="CG13"/>
  <c r="DI13"/>
  <c r="DB13"/>
  <c r="BZ14"/>
  <c r="CU14"/>
  <c r="U11" i="25"/>
  <c r="BS14" i="22"/>
  <c r="CG14"/>
  <c r="DB14"/>
  <c r="DI14"/>
  <c r="BZ15"/>
  <c r="BS15"/>
  <c r="CG15"/>
  <c r="DB15"/>
  <c r="DI15"/>
  <c r="CQ13"/>
  <c r="CX12"/>
  <c r="BV14"/>
  <c r="CJ14"/>
  <c r="BV8"/>
  <c r="CJ8"/>
  <c r="DL8"/>
  <c r="BA44" i="3"/>
  <c r="CC8" i="22"/>
  <c r="DS8"/>
  <c r="CQ8"/>
  <c r="BK37" i="3"/>
  <c r="F4" i="12"/>
  <c r="E4"/>
  <c r="BH22" i="22"/>
  <c r="BH20"/>
  <c r="BH12"/>
  <c r="CH16" i="3"/>
  <c r="CK16"/>
  <c r="CK22"/>
  <c r="CK13"/>
  <c r="CG16"/>
  <c r="BA55"/>
  <c r="DS14" i="22"/>
  <c r="BF20"/>
  <c r="AA17" i="25"/>
  <c r="CK9" i="3"/>
  <c r="CI20"/>
  <c r="CI21"/>
  <c r="DT15" i="22"/>
  <c r="CR15"/>
  <c r="BW11"/>
  <c r="CK11"/>
  <c r="BW14"/>
  <c r="CK14"/>
  <c r="CY10"/>
  <c r="CG18" i="3"/>
  <c r="CN13"/>
  <c r="CP10" i="22"/>
  <c r="AP7" i="25"/>
  <c r="BA45" i="3"/>
  <c r="BH14" i="22"/>
  <c r="BI17"/>
  <c r="BI14"/>
  <c r="CH23" i="3"/>
  <c r="CH20"/>
  <c r="CA14"/>
  <c r="CA15"/>
  <c r="CA20"/>
  <c r="CA21"/>
  <c r="CA23"/>
  <c r="CA26"/>
  <c r="DQ18"/>
  <c r="CD14"/>
  <c r="CI10"/>
  <c r="CI25"/>
  <c r="BG15" i="22"/>
  <c r="AK12" i="25"/>
  <c r="BW9" i="22"/>
  <c r="CK9"/>
  <c r="CG11" i="3"/>
  <c r="BZ10"/>
  <c r="BE19" i="22"/>
  <c r="O16" i="25"/>
  <c r="CJ21" i="22"/>
  <c r="CJ19"/>
  <c r="DS22"/>
  <c r="CX22"/>
  <c r="CJ18"/>
  <c r="CH15" i="3"/>
  <c r="CH21"/>
  <c r="BF11" i="22"/>
  <c r="AA8" i="25"/>
  <c r="BF15" i="22"/>
  <c r="AA12" i="25"/>
  <c r="CD26" i="3"/>
  <c r="CI16"/>
  <c r="CI18"/>
  <c r="BG14" i="22"/>
  <c r="AK11" i="25"/>
  <c r="BB23" i="3"/>
  <c r="CG20"/>
  <c r="BE17" i="22"/>
  <c r="O14" i="25"/>
  <c r="BE13" i="22"/>
  <c r="O10" i="25"/>
  <c r="BE14" i="22"/>
  <c r="O11" i="25"/>
  <c r="CJ20" i="22"/>
  <c r="DS20"/>
  <c r="DS16"/>
  <c r="CJ12"/>
  <c r="AE7" i="28"/>
  <c r="V7" i="19"/>
  <c r="AF7" i="28"/>
  <c r="U7" i="19"/>
  <c r="S7" i="26"/>
  <c r="CV8" i="3"/>
  <c r="AA5" i="19"/>
  <c r="AB5" i="28"/>
  <c r="X5" i="26"/>
  <c r="Z5" i="19"/>
  <c r="W5" i="26"/>
  <c r="AA5" i="28"/>
  <c r="AB23"/>
  <c r="X23" i="26"/>
  <c r="AA23" i="19"/>
  <c r="AF23" i="28"/>
  <c r="S23" i="26"/>
  <c r="U23" i="19"/>
  <c r="M9" i="4"/>
  <c r="Y9" i="19"/>
  <c r="V9" i="26"/>
  <c r="Z9" i="28"/>
  <c r="AY13" i="3"/>
  <c r="W12" i="26"/>
  <c r="Z12" i="19"/>
  <c r="AA12" i="28"/>
  <c r="CA22" i="22"/>
  <c r="CO22"/>
  <c r="AF19" i="25"/>
  <c r="CV22" i="22"/>
  <c r="AG19" i="25"/>
  <c r="BT22" i="22"/>
  <c r="CH22"/>
  <c r="DC22"/>
  <c r="DJ22"/>
  <c r="Y19" i="25"/>
  <c r="CR19" i="3"/>
  <c r="CY19"/>
  <c r="CR16"/>
  <c r="CY16"/>
  <c r="CY11"/>
  <c r="CR11"/>
  <c r="B41" i="15"/>
  <c r="E41"/>
  <c r="P26" i="16"/>
  <c r="N26"/>
  <c r="N15"/>
  <c r="B30" i="15"/>
  <c r="E30"/>
  <c r="P15" i="16"/>
  <c r="B31" i="15"/>
  <c r="E31"/>
  <c r="P16" i="16"/>
  <c r="N16"/>
  <c r="BB15" i="3"/>
  <c r="BI15"/>
  <c r="D31" i="15"/>
  <c r="O16" i="16"/>
  <c r="AJ18" i="28"/>
  <c r="AG18" i="19"/>
  <c r="Q18" i="4"/>
  <c r="AC18" i="26"/>
  <c r="AZ22" i="3"/>
  <c r="AT63"/>
  <c r="AM23" i="28"/>
  <c r="AZ63" i="3"/>
  <c r="AN23" i="28"/>
  <c r="AC15" i="26"/>
  <c r="AJ15" i="28"/>
  <c r="AG15" i="19"/>
  <c r="Q15" i="4"/>
  <c r="AZ19" i="3"/>
  <c r="BG19"/>
  <c r="AT61"/>
  <c r="AM21" i="28"/>
  <c r="AZ61" i="3"/>
  <c r="AN21" i="28"/>
  <c r="AK9"/>
  <c r="AD9" i="26"/>
  <c r="AH9" i="19"/>
  <c r="CB13" i="22"/>
  <c r="CP13"/>
  <c r="AP10" i="25"/>
  <c r="CW13" i="22"/>
  <c r="AQ10" i="25"/>
  <c r="BU13" i="22"/>
  <c r="CI13"/>
  <c r="DD13"/>
  <c r="DK13"/>
  <c r="I11" i="4"/>
  <c r="O11" i="19"/>
  <c r="AX15" i="3"/>
  <c r="BE15"/>
  <c r="M11" i="26"/>
  <c r="P11" i="28"/>
  <c r="Q13"/>
  <c r="P13" i="19"/>
  <c r="N13" i="26"/>
  <c r="K21" i="19"/>
  <c r="J21" i="26"/>
  <c r="V21" i="28"/>
  <c r="U21"/>
  <c r="L21" i="19"/>
  <c r="I4" i="4"/>
  <c r="M4" i="26"/>
  <c r="O4" i="19"/>
  <c r="P4" i="28"/>
  <c r="AX8" i="3"/>
  <c r="BE8"/>
  <c r="BS20" i="22"/>
  <c r="CG20"/>
  <c r="DB20"/>
  <c r="P17" i="25"/>
  <c r="DI20" i="22"/>
  <c r="BZ20"/>
  <c r="CN20"/>
  <c r="T17" i="25"/>
  <c r="BK38" i="3"/>
  <c r="F5" i="12"/>
  <c r="E5"/>
  <c r="BY12" i="3"/>
  <c r="BR12"/>
  <c r="CT12"/>
  <c r="CM12"/>
  <c r="E14" i="26"/>
  <c r="E14" i="28"/>
  <c r="D14" i="4"/>
  <c r="F14" i="19"/>
  <c r="J16" i="6"/>
  <c r="AI54" i="3"/>
  <c r="BY9"/>
  <c r="BR9"/>
  <c r="E13" i="26"/>
  <c r="J15" i="6"/>
  <c r="E13" i="28"/>
  <c r="F13" i="19"/>
  <c r="D13" i="4"/>
  <c r="AI53" i="3"/>
  <c r="BR26"/>
  <c r="AI47"/>
  <c r="J9" i="6"/>
  <c r="E7" i="28"/>
  <c r="E7" i="26"/>
  <c r="F7" i="19"/>
  <c r="D7" i="4"/>
  <c r="BY14" i="3"/>
  <c r="CM14"/>
  <c r="CT14"/>
  <c r="BR14"/>
  <c r="E9" i="28"/>
  <c r="D9" i="4"/>
  <c r="F9" i="19"/>
  <c r="E9" i="26"/>
  <c r="J11" i="6"/>
  <c r="AI49" i="3"/>
  <c r="DA27"/>
  <c r="BY27"/>
  <c r="DO27"/>
  <c r="CT27"/>
  <c r="DH27"/>
  <c r="CM27"/>
  <c r="BR27"/>
  <c r="AI52"/>
  <c r="J14" i="6"/>
  <c r="F12" i="19"/>
  <c r="E12" i="26"/>
  <c r="E12" i="28"/>
  <c r="D12" i="4"/>
  <c r="V8" i="26"/>
  <c r="Y8" i="19"/>
  <c r="AY12" i="3"/>
  <c r="Z8" i="28"/>
  <c r="M8" i="4"/>
  <c r="Y21" i="19"/>
  <c r="Z21" i="28"/>
  <c r="M21" i="4"/>
  <c r="V21" i="26"/>
  <c r="AY25" i="3"/>
  <c r="AY51"/>
  <c r="AD11" i="28"/>
  <c r="AS51" i="3"/>
  <c r="AC11" i="28"/>
  <c r="V22" i="26"/>
  <c r="M22" i="4"/>
  <c r="Y22" i="19"/>
  <c r="Z22" i="28"/>
  <c r="AY26" i="3"/>
  <c r="AB13" i="28"/>
  <c r="AA13" i="19"/>
  <c r="X13" i="26"/>
  <c r="CA9" i="22"/>
  <c r="CO9"/>
  <c r="AF6" i="25"/>
  <c r="BT9" i="22"/>
  <c r="CH9"/>
  <c r="DJ9"/>
  <c r="Y6" i="25"/>
  <c r="DC9" i="22"/>
  <c r="AB6" i="25"/>
  <c r="CA20" i="22"/>
  <c r="CO20"/>
  <c r="AF17" i="25"/>
  <c r="BT20" i="22"/>
  <c r="CH20"/>
  <c r="DJ20"/>
  <c r="Y17" i="25"/>
  <c r="DC20" i="22"/>
  <c r="AB17" i="25"/>
  <c r="CA10" i="22"/>
  <c r="BT10"/>
  <c r="CH10"/>
  <c r="DJ10"/>
  <c r="DC10"/>
  <c r="AB7" i="25"/>
  <c r="BB10" i="3"/>
  <c r="D26" i="15"/>
  <c r="O11" i="16"/>
  <c r="CR27" i="3"/>
  <c r="CY27"/>
  <c r="D28" i="15"/>
  <c r="O13" i="16"/>
  <c r="BB12" i="3"/>
  <c r="CK12"/>
  <c r="BB17"/>
  <c r="D33" i="15"/>
  <c r="O18" i="16"/>
  <c r="CR20" i="3"/>
  <c r="CY20"/>
  <c r="N27" i="16"/>
  <c r="B42" i="15"/>
  <c r="E42"/>
  <c r="P27" i="16"/>
  <c r="AZ60" i="3"/>
  <c r="AN20" i="28"/>
  <c r="AT60" i="3"/>
  <c r="AM20" i="28"/>
  <c r="AG20" i="19"/>
  <c r="Q20" i="4"/>
  <c r="AZ24" i="3"/>
  <c r="CI24"/>
  <c r="AJ20" i="28"/>
  <c r="AC20" i="26"/>
  <c r="AI17" i="19"/>
  <c r="AL17" i="28"/>
  <c r="AE17" i="26"/>
  <c r="AP17" i="28"/>
  <c r="Z17" i="26"/>
  <c r="AC17" i="19"/>
  <c r="AC19" i="26"/>
  <c r="Q19" i="4"/>
  <c r="AG19" i="19"/>
  <c r="AJ19" i="28"/>
  <c r="AZ23" i="3"/>
  <c r="BG23"/>
  <c r="CB8" i="22"/>
  <c r="CW8"/>
  <c r="AQ5" i="25"/>
  <c r="BU8" i="22"/>
  <c r="CI8"/>
  <c r="DK8"/>
  <c r="AI5" i="25"/>
  <c r="DD8" i="22"/>
  <c r="AL5" i="25"/>
  <c r="CB18" i="22"/>
  <c r="CP18"/>
  <c r="AP15" i="25"/>
  <c r="BU18" i="22"/>
  <c r="CI18"/>
  <c r="DD18"/>
  <c r="DK18"/>
  <c r="CB11"/>
  <c r="CP11"/>
  <c r="AP8" i="25"/>
  <c r="BU11" i="22"/>
  <c r="CI11"/>
  <c r="DK11"/>
  <c r="DD11"/>
  <c r="CR17"/>
  <c r="DT17"/>
  <c r="CY11"/>
  <c r="DT11"/>
  <c r="CR14"/>
  <c r="DT14"/>
  <c r="BV9" i="3"/>
  <c r="CC9"/>
  <c r="CX9"/>
  <c r="I8" i="9"/>
  <c r="CQ9" i="3"/>
  <c r="H8" i="9"/>
  <c r="BV10" i="3"/>
  <c r="CC10"/>
  <c r="CQ10"/>
  <c r="H9" i="9"/>
  <c r="BV17" i="3"/>
  <c r="CC17"/>
  <c r="CQ17"/>
  <c r="H16" i="9"/>
  <c r="BV8" i="3"/>
  <c r="CC8"/>
  <c r="CX8"/>
  <c r="I7" i="9"/>
  <c r="CQ8" i="3"/>
  <c r="H7" i="9"/>
  <c r="BV13" i="3"/>
  <c r="CC13"/>
  <c r="BV15"/>
  <c r="CC15"/>
  <c r="CX15"/>
  <c r="I14" i="9"/>
  <c r="CQ15" i="3"/>
  <c r="H14" i="9"/>
  <c r="BV26" i="3"/>
  <c r="CC26"/>
  <c r="CQ26"/>
  <c r="H25" i="9"/>
  <c r="CX26" i="3"/>
  <c r="I25" i="9"/>
  <c r="DL25" i="3"/>
  <c r="CC25"/>
  <c r="BV25"/>
  <c r="DE25"/>
  <c r="CX25"/>
  <c r="I24" i="9"/>
  <c r="CQ25" i="3"/>
  <c r="H24" i="9"/>
  <c r="BV14" i="3"/>
  <c r="CC14"/>
  <c r="BV16"/>
  <c r="CX16"/>
  <c r="I15" i="9"/>
  <c r="DL16" i="3"/>
  <c r="DE16"/>
  <c r="CC16"/>
  <c r="CQ16"/>
  <c r="H15" i="9"/>
  <c r="M18" i="26"/>
  <c r="O18" i="19"/>
  <c r="AX22" i="3"/>
  <c r="I18" i="4"/>
  <c r="P18" i="28"/>
  <c r="Q15"/>
  <c r="N15" i="26"/>
  <c r="P15" i="19"/>
  <c r="O15" i="26"/>
  <c r="Q15" i="19"/>
  <c r="R15" i="28"/>
  <c r="BZ26" i="3"/>
  <c r="DP21"/>
  <c r="AX26"/>
  <c r="I22" i="4"/>
  <c r="O22" i="19"/>
  <c r="P22" i="28"/>
  <c r="M22" i="26"/>
  <c r="O17" i="19"/>
  <c r="I17" i="4"/>
  <c r="P17" i="28"/>
  <c r="M17" i="26"/>
  <c r="AX21" i="3"/>
  <c r="CG21"/>
  <c r="O20" i="19"/>
  <c r="I20" i="4"/>
  <c r="AX24" i="3"/>
  <c r="P20" i="28"/>
  <c r="M20" i="26"/>
  <c r="BZ16" i="22"/>
  <c r="CN16"/>
  <c r="T13" i="25"/>
  <c r="M7" i="4"/>
  <c r="Y7" i="19"/>
  <c r="AY11" i="3"/>
  <c r="BF11"/>
  <c r="V7" i="26"/>
  <c r="Z7" i="28"/>
  <c r="M4" i="4"/>
  <c r="V4" i="26"/>
  <c r="Z4" i="28"/>
  <c r="Y4" i="19"/>
  <c r="AY8" i="3"/>
  <c r="AS45"/>
  <c r="AC5" i="28"/>
  <c r="AY45" i="3"/>
  <c r="AD5" i="28"/>
  <c r="Y5" i="19"/>
  <c r="Z5" i="28"/>
  <c r="V5" i="26"/>
  <c r="M5" i="4"/>
  <c r="AY9" i="3"/>
  <c r="BF9"/>
  <c r="V23" i="26"/>
  <c r="Y23" i="19"/>
  <c r="Z23" i="28"/>
  <c r="M23" i="4"/>
  <c r="AY27" i="3"/>
  <c r="BF27"/>
  <c r="AA9" i="19"/>
  <c r="AB9" i="28"/>
  <c r="X9" i="26"/>
  <c r="W9"/>
  <c r="AA9" i="28"/>
  <c r="Z9" i="19"/>
  <c r="AS52" i="3"/>
  <c r="AC12" i="28"/>
  <c r="CA17" i="22"/>
  <c r="CO17"/>
  <c r="AF14" i="25"/>
  <c r="CV17" i="22"/>
  <c r="AG14" i="25"/>
  <c r="BT17" i="22"/>
  <c r="CH17"/>
  <c r="DC17"/>
  <c r="AB14" i="25"/>
  <c r="DJ17" i="22"/>
  <c r="Y14" i="25"/>
  <c r="BB19" i="3"/>
  <c r="D35" i="15"/>
  <c r="O20" i="16"/>
  <c r="BB11" i="3"/>
  <c r="BI11"/>
  <c r="D27" i="15"/>
  <c r="O12" i="16"/>
  <c r="BB24" i="3"/>
  <c r="BI24"/>
  <c r="D40" i="15"/>
  <c r="O25" i="16"/>
  <c r="B38" i="15"/>
  <c r="E38"/>
  <c r="P23" i="16"/>
  <c r="N23"/>
  <c r="B29" i="15"/>
  <c r="E29"/>
  <c r="P14" i="16"/>
  <c r="N14"/>
  <c r="Q10" i="4"/>
  <c r="AJ10" i="28"/>
  <c r="AC10" i="26"/>
  <c r="AG10" i="19"/>
  <c r="AZ14" i="3"/>
  <c r="AC4" i="26"/>
  <c r="Q4" i="4"/>
  <c r="AZ8" i="3"/>
  <c r="BG8"/>
  <c r="AG4" i="19"/>
  <c r="AJ4" i="28"/>
  <c r="AO23"/>
  <c r="AD23" i="19"/>
  <c r="AE23" i="26"/>
  <c r="AL23" i="28"/>
  <c r="AI23" i="19"/>
  <c r="AZ62" i="3"/>
  <c r="AN22" i="28"/>
  <c r="AT62" i="3"/>
  <c r="AM22" i="28"/>
  <c r="AJ7"/>
  <c r="AC7" i="26"/>
  <c r="AZ11" i="3"/>
  <c r="BG11"/>
  <c r="Q7" i="4"/>
  <c r="AG7" i="19"/>
  <c r="AJ9" i="28"/>
  <c r="AG9" i="19"/>
  <c r="Q9" i="4"/>
  <c r="AC9" i="26"/>
  <c r="AZ13" i="3"/>
  <c r="CB16" i="22"/>
  <c r="CW16"/>
  <c r="AQ13" i="25"/>
  <c r="CP16" i="22"/>
  <c r="AP13" i="25"/>
  <c r="BU16" i="22"/>
  <c r="CI16"/>
  <c r="DK16"/>
  <c r="DD16"/>
  <c r="AL13" i="25"/>
  <c r="CB20" i="22"/>
  <c r="CP20"/>
  <c r="AP17" i="25"/>
  <c r="BU20" i="22"/>
  <c r="CI20"/>
  <c r="DD20"/>
  <c r="DK20"/>
  <c r="CB15"/>
  <c r="CP15"/>
  <c r="AP12" i="25"/>
  <c r="CW15" i="22"/>
  <c r="AQ12" i="25"/>
  <c r="BU15" i="22"/>
  <c r="CI15"/>
  <c r="DK15"/>
  <c r="AI12" i="25"/>
  <c r="DD15" i="22"/>
  <c r="AL12" i="25"/>
  <c r="CB17" i="22"/>
  <c r="BU17"/>
  <c r="CI17"/>
  <c r="DK17"/>
  <c r="DD17"/>
  <c r="AL14" i="25"/>
  <c r="CR21" i="22"/>
  <c r="DT21"/>
  <c r="CR9"/>
  <c r="DT9"/>
  <c r="CY18"/>
  <c r="DT18"/>
  <c r="I12" i="25"/>
  <c r="BK15" i="22"/>
  <c r="AW15"/>
  <c r="BD15"/>
  <c r="E12" i="25"/>
  <c r="AQ64" i="3"/>
  <c r="AW64"/>
  <c r="AQ65"/>
  <c r="AW65"/>
  <c r="AQ67"/>
  <c r="AW67"/>
  <c r="I16" i="25"/>
  <c r="BK19" i="22"/>
  <c r="AW19"/>
  <c r="BD19"/>
  <c r="E16" i="25"/>
  <c r="I21" i="4"/>
  <c r="O21" i="19"/>
  <c r="P21" i="28"/>
  <c r="AX25" i="3"/>
  <c r="BE25"/>
  <c r="M21" i="26"/>
  <c r="M23"/>
  <c r="O23" i="19"/>
  <c r="I23" i="4"/>
  <c r="P23" i="28"/>
  <c r="AX27" i="3"/>
  <c r="BE27"/>
  <c r="BZ8" i="22"/>
  <c r="CN8"/>
  <c r="T5" i="25"/>
  <c r="CU8" i="22"/>
  <c r="U5" i="25"/>
  <c r="BS8" i="22"/>
  <c r="CG8"/>
  <c r="DI8"/>
  <c r="DB8"/>
  <c r="BZ22"/>
  <c r="CU22"/>
  <c r="U19" i="25"/>
  <c r="BS22" i="22"/>
  <c r="CG22"/>
  <c r="DB22"/>
  <c r="DI22"/>
  <c r="CX15"/>
  <c r="DS15"/>
  <c r="BR25" i="3"/>
  <c r="BY25"/>
  <c r="CT25"/>
  <c r="CM25"/>
  <c r="J13" i="6"/>
  <c r="D11" i="4"/>
  <c r="F11" i="19"/>
  <c r="E11" i="28"/>
  <c r="E11" i="26"/>
  <c r="AI51" i="3"/>
  <c r="F20" i="19"/>
  <c r="J22" i="6"/>
  <c r="E20" i="28"/>
  <c r="E20" i="26"/>
  <c r="D20" i="4"/>
  <c r="AI60" i="3"/>
  <c r="BR20"/>
  <c r="BY22"/>
  <c r="BR22"/>
  <c r="AW22"/>
  <c r="CF22"/>
  <c r="DH22"/>
  <c r="DA22"/>
  <c r="CM22"/>
  <c r="CT22"/>
  <c r="BR10"/>
  <c r="BY21"/>
  <c r="CM21"/>
  <c r="BR21"/>
  <c r="BR8"/>
  <c r="E19" i="28"/>
  <c r="D19" i="4"/>
  <c r="F19" i="19"/>
  <c r="J21" i="6"/>
  <c r="E19" i="26"/>
  <c r="AI59" i="3"/>
  <c r="BR19"/>
  <c r="AW19"/>
  <c r="CF19"/>
  <c r="DA19"/>
  <c r="DH19"/>
  <c r="BY19"/>
  <c r="CT19"/>
  <c r="CM19"/>
  <c r="V15" i="26"/>
  <c r="Z15" i="28"/>
  <c r="M15" i="4"/>
  <c r="Y15" i="19"/>
  <c r="AY19" i="3"/>
  <c r="BF19"/>
  <c r="AY55"/>
  <c r="AD15" i="28"/>
  <c r="W21" i="26"/>
  <c r="AA21" i="28"/>
  <c r="Z21" i="19"/>
  <c r="V21"/>
  <c r="AE21" i="28"/>
  <c r="Y20" i="19"/>
  <c r="V20" i="26"/>
  <c r="M20" i="4"/>
  <c r="Z20" i="28"/>
  <c r="AY24" i="3"/>
  <c r="BF24"/>
  <c r="Z18" i="28"/>
  <c r="Y18" i="19"/>
  <c r="V18" i="26"/>
  <c r="M18" i="4"/>
  <c r="AY22" i="3"/>
  <c r="BF22"/>
  <c r="V13" i="26"/>
  <c r="Z13" i="28"/>
  <c r="M13" i="4"/>
  <c r="Y13" i="19"/>
  <c r="AY17" i="3"/>
  <c r="BF17"/>
  <c r="CA18" i="22"/>
  <c r="CV18"/>
  <c r="AG15" i="25"/>
  <c r="BT18" i="22"/>
  <c r="CH18"/>
  <c r="DJ18"/>
  <c r="Y15" i="25"/>
  <c r="DC18" i="22"/>
  <c r="AB15" i="25"/>
  <c r="CA15" i="22"/>
  <c r="DQ15"/>
  <c r="CO15"/>
  <c r="AF12" i="25"/>
  <c r="BT15" i="22"/>
  <c r="CH15"/>
  <c r="DC15"/>
  <c r="AB12" i="25"/>
  <c r="DJ15" i="22"/>
  <c r="Y12" i="25"/>
  <c r="BB27" i="3"/>
  <c r="BI27"/>
  <c r="D43" i="15"/>
  <c r="O28" i="16"/>
  <c r="N9"/>
  <c r="B24" i="15"/>
  <c r="E24"/>
  <c r="P9" i="16"/>
  <c r="BB18" i="3"/>
  <c r="BI18"/>
  <c r="D34" i="15"/>
  <c r="O19" i="16"/>
  <c r="BB20" i="3"/>
  <c r="BB21"/>
  <c r="BI20"/>
  <c r="D36" i="15"/>
  <c r="O21" i="16"/>
  <c r="N21"/>
  <c r="B36" i="15"/>
  <c r="E36"/>
  <c r="P21" i="16"/>
  <c r="B25" i="15"/>
  <c r="E25"/>
  <c r="P10" i="16"/>
  <c r="N10"/>
  <c r="D37" i="15"/>
  <c r="O22" i="16"/>
  <c r="CK21" i="3"/>
  <c r="AT56"/>
  <c r="AM16" i="28"/>
  <c r="AE20" i="26"/>
  <c r="AL20" i="28"/>
  <c r="AI20" i="19"/>
  <c r="AK20" i="28"/>
  <c r="AD20" i="26"/>
  <c r="AH20" i="19"/>
  <c r="AT45" i="3"/>
  <c r="AM5" i="28"/>
  <c r="AZ45" i="3"/>
  <c r="AN5" i="28"/>
  <c r="AZ57" i="3"/>
  <c r="AN17" i="28"/>
  <c r="AT57" i="3"/>
  <c r="AM17" i="28"/>
  <c r="AK19"/>
  <c r="AD19" i="26"/>
  <c r="AH19" i="19"/>
  <c r="Z19" i="26"/>
  <c r="AP19" i="28"/>
  <c r="AC19" i="19"/>
  <c r="AJ11" i="28"/>
  <c r="AZ15" i="3"/>
  <c r="Q11" i="4"/>
  <c r="AC11" i="26"/>
  <c r="AG11" i="19"/>
  <c r="AO12" i="28"/>
  <c r="AD12" i="19"/>
  <c r="AL12" i="28"/>
  <c r="AE12" i="26"/>
  <c r="AI12" i="19"/>
  <c r="CP9" i="22"/>
  <c r="AP6" i="25"/>
  <c r="CY23" i="3"/>
  <c r="CR23"/>
  <c r="BV20"/>
  <c r="CC20"/>
  <c r="CX20"/>
  <c r="I19" i="9"/>
  <c r="CX22" i="3"/>
  <c r="I21" i="9"/>
  <c r="CC22" i="3"/>
  <c r="CC27"/>
  <c r="CC24"/>
  <c r="CC23"/>
  <c r="DS22"/>
  <c r="DL22"/>
  <c r="BV22"/>
  <c r="CQ22"/>
  <c r="H21" i="9"/>
  <c r="DE22" i="3"/>
  <c r="BV12"/>
  <c r="CC12"/>
  <c r="CQ12"/>
  <c r="H11" i="9"/>
  <c r="CX12" i="3"/>
  <c r="I11" i="9"/>
  <c r="BV19" i="3"/>
  <c r="CC19"/>
  <c r="BV27"/>
  <c r="CQ27"/>
  <c r="H26" i="9"/>
  <c r="CX27" i="3"/>
  <c r="I26" i="9"/>
  <c r="BV18" i="3"/>
  <c r="CQ18"/>
  <c r="H17" i="9"/>
  <c r="DL18" i="3"/>
  <c r="CC18"/>
  <c r="DE18"/>
  <c r="CX18"/>
  <c r="I17" i="9"/>
  <c r="CC11" i="3"/>
  <c r="CC21"/>
  <c r="DS11"/>
  <c r="BV11"/>
  <c r="CX11"/>
  <c r="I10" i="9"/>
  <c r="CQ11" i="3"/>
  <c r="H10" i="9"/>
  <c r="CQ24" i="3"/>
  <c r="H23" i="9"/>
  <c r="DS24" i="3"/>
  <c r="CX24"/>
  <c r="I23" i="9"/>
  <c r="DE24" i="3"/>
  <c r="DL24"/>
  <c r="BV24"/>
  <c r="BV23"/>
  <c r="CQ23"/>
  <c r="H22" i="9"/>
  <c r="BV21" i="3"/>
  <c r="CX21"/>
  <c r="I20" i="9"/>
  <c r="CQ21" i="3"/>
  <c r="H20" i="9"/>
  <c r="O8" i="19"/>
  <c r="P8" i="28"/>
  <c r="AX12" i="3"/>
  <c r="AX13"/>
  <c r="BE12"/>
  <c r="I8" i="4"/>
  <c r="M8" i="26"/>
  <c r="I9" i="4"/>
  <c r="P9" i="28"/>
  <c r="O9" i="19"/>
  <c r="M9" i="26"/>
  <c r="AR55" i="3"/>
  <c r="S15" i="28"/>
  <c r="AX55" i="3"/>
  <c r="T15" i="28"/>
  <c r="O15" i="19"/>
  <c r="P15" i="28"/>
  <c r="M15" i="26"/>
  <c r="AX19" i="3"/>
  <c r="BE19"/>
  <c r="I15" i="4"/>
  <c r="R17" i="28"/>
  <c r="O17" i="26"/>
  <c r="Q17" i="19"/>
  <c r="P17"/>
  <c r="N17" i="26"/>
  <c r="Q17" i="28"/>
  <c r="R19"/>
  <c r="Q19" i="19"/>
  <c r="O19" i="26"/>
  <c r="K19" i="19"/>
  <c r="J19" i="26"/>
  <c r="V19" i="28"/>
  <c r="BZ9" i="22"/>
  <c r="CN9"/>
  <c r="T6" i="25"/>
  <c r="BS9" i="22"/>
  <c r="CG9"/>
  <c r="DI9"/>
  <c r="DB9"/>
  <c r="BZ11"/>
  <c r="BS11"/>
  <c r="CG11"/>
  <c r="DB11"/>
  <c r="DI11"/>
  <c r="BI18"/>
  <c r="BI22"/>
  <c r="BH19"/>
  <c r="BH18"/>
  <c r="BH11"/>
  <c r="BG10"/>
  <c r="AK7" i="25"/>
  <c r="BH16" i="22"/>
  <c r="BH10"/>
  <c r="CH11" i="3"/>
  <c r="CH10"/>
  <c r="CH8"/>
  <c r="BF22" i="22"/>
  <c r="AA19" i="25"/>
  <c r="CK24" i="3"/>
  <c r="CY22"/>
  <c r="CR22"/>
  <c r="CR13"/>
  <c r="CY13"/>
  <c r="CW8"/>
  <c r="CP8"/>
  <c r="CP26"/>
  <c r="CW26"/>
  <c r="CI26"/>
  <c r="CG14"/>
  <c r="BZ20"/>
  <c r="DP16"/>
  <c r="DP17"/>
  <c r="CG9"/>
  <c r="DP25"/>
  <c r="CU27"/>
  <c r="AU55"/>
  <c r="DS17" i="22"/>
  <c r="CQ14"/>
  <c r="CX14"/>
  <c r="CH18" i="3"/>
  <c r="CO24"/>
  <c r="CV24"/>
  <c r="CO22"/>
  <c r="CV22"/>
  <c r="BF9" i="22"/>
  <c r="AA6" i="25"/>
  <c r="BF10" i="22"/>
  <c r="AA7" i="25"/>
  <c r="CK8" i="3"/>
  <c r="CK18"/>
  <c r="CW17"/>
  <c r="CP17"/>
  <c r="CI17"/>
  <c r="CI9"/>
  <c r="CP15"/>
  <c r="CW15"/>
  <c r="CI15"/>
  <c r="BG22" i="22"/>
  <c r="AK19" i="25"/>
  <c r="BW17" i="22"/>
  <c r="CK17"/>
  <c r="CY15"/>
  <c r="BW15"/>
  <c r="CK15"/>
  <c r="CR12"/>
  <c r="BW12"/>
  <c r="CK12"/>
  <c r="BW10"/>
  <c r="CK10"/>
  <c r="CU12" i="3"/>
  <c r="CU13"/>
  <c r="CG13"/>
  <c r="DP19"/>
  <c r="CW10" i="22"/>
  <c r="AQ7" i="25"/>
  <c r="BU10" i="22"/>
  <c r="CI10"/>
  <c r="AU45" i="3"/>
  <c r="BH17" i="22"/>
  <c r="BI20"/>
  <c r="BI15"/>
  <c r="BI12"/>
  <c r="BI10"/>
  <c r="CH14" i="3"/>
  <c r="CH13"/>
  <c r="BF17" i="22"/>
  <c r="AA14" i="25"/>
  <c r="CD25" i="3"/>
  <c r="CK25"/>
  <c r="CK14"/>
  <c r="CD15"/>
  <c r="CK15"/>
  <c r="CB22"/>
  <c r="CB10"/>
  <c r="CB12"/>
  <c r="CB18"/>
  <c r="CB25"/>
  <c r="DR8"/>
  <c r="CI27"/>
  <c r="CI19"/>
  <c r="BG19" i="22"/>
  <c r="AK16" i="25"/>
  <c r="BG20" i="22"/>
  <c r="AK17" i="25"/>
  <c r="BG17" i="22"/>
  <c r="AK14" i="25"/>
  <c r="BW13" i="22"/>
  <c r="CK13"/>
  <c r="BW16"/>
  <c r="CK16"/>
  <c r="BW18"/>
  <c r="CK18"/>
  <c r="CY19"/>
  <c r="DT22"/>
  <c r="CG15" i="3"/>
  <c r="CG10"/>
  <c r="CG8"/>
  <c r="BE18" i="22"/>
  <c r="O15" i="25"/>
  <c r="DS21" i="22"/>
  <c r="CQ19"/>
  <c r="CX19"/>
  <c r="CJ22"/>
  <c r="CQ22"/>
  <c r="DS18"/>
  <c r="CX18"/>
  <c r="CJ15"/>
  <c r="CJ11"/>
  <c r="CH12" i="3"/>
  <c r="CH26"/>
  <c r="BF13" i="22"/>
  <c r="AA10" i="25"/>
  <c r="BF18" i="22"/>
  <c r="AA15" i="25"/>
  <c r="CD10" i="3"/>
  <c r="CD12"/>
  <c r="DT17"/>
  <c r="CK10"/>
  <c r="CK26"/>
  <c r="CI23"/>
  <c r="CI12"/>
  <c r="BG12" i="22"/>
  <c r="AK9" i="25"/>
  <c r="CG23" i="3"/>
  <c r="DP13"/>
  <c r="BE21" i="22"/>
  <c r="O18" i="25"/>
  <c r="BE9" i="22"/>
  <c r="O6" i="25"/>
  <c r="BE11" i="22"/>
  <c r="O8" i="25"/>
  <c r="BE15" i="22"/>
  <c r="O12" i="25"/>
  <c r="CX20" i="22"/>
  <c r="CJ16"/>
  <c r="CQ16"/>
  <c r="CJ13"/>
  <c r="CJ10"/>
  <c r="DS10"/>
  <c r="CQ12"/>
  <c r="DY12" i="3"/>
  <c r="AX44"/>
  <c r="T4" i="28"/>
  <c r="M5" i="25"/>
  <c r="DF12" i="3"/>
  <c r="DM12"/>
  <c r="AT49"/>
  <c r="AM9" i="28"/>
  <c r="AL10" i="25"/>
  <c r="AB19"/>
  <c r="AS62" i="3"/>
  <c r="AC22" i="28"/>
  <c r="AR51" i="3"/>
  <c r="S11" i="28"/>
  <c r="P12" i="25"/>
  <c r="AX49" i="3"/>
  <c r="T9" i="28"/>
  <c r="M10" i="25"/>
  <c r="M18"/>
  <c r="AX62" i="3"/>
  <c r="T22" i="28"/>
  <c r="Y10" i="25"/>
  <c r="AY52" i="3"/>
  <c r="AD12" i="28"/>
  <c r="AR47" i="3"/>
  <c r="S7" i="28"/>
  <c r="P8" i="25"/>
  <c r="DF21" i="3"/>
  <c r="DM21"/>
  <c r="AI14" i="25"/>
  <c r="AZ54" i="3"/>
  <c r="AN14" i="28"/>
  <c r="AI13" i="25"/>
  <c r="AZ53" i="3"/>
  <c r="AN13" i="28"/>
  <c r="Y7" i="25"/>
  <c r="AY48" i="3"/>
  <c r="AD8" i="28"/>
  <c r="M17" i="25"/>
  <c r="AX60" i="3"/>
  <c r="T20" i="28"/>
  <c r="P16" i="25"/>
  <c r="AR58" i="3"/>
  <c r="S18" i="28"/>
  <c r="AI16" i="25"/>
  <c r="AZ56" i="3"/>
  <c r="AN16" i="28"/>
  <c r="AB13" i="25"/>
  <c r="AS55" i="3"/>
  <c r="AC15" i="28"/>
  <c r="Y11" i="25"/>
  <c r="AY53" i="3"/>
  <c r="AD13" i="28"/>
  <c r="DE10" i="22"/>
  <c r="AU46" i="3"/>
  <c r="DL10" i="22"/>
  <c r="BA46" i="3"/>
  <c r="CW18"/>
  <c r="DR18"/>
  <c r="CP18"/>
  <c r="DR12"/>
  <c r="CW12"/>
  <c r="CP12"/>
  <c r="DF10"/>
  <c r="DM10"/>
  <c r="CO26"/>
  <c r="DQ26"/>
  <c r="CV26"/>
  <c r="DE11" i="22"/>
  <c r="AU47" i="3"/>
  <c r="DL11" i="22"/>
  <c r="BA47" i="3"/>
  <c r="DI8"/>
  <c r="DB8"/>
  <c r="DB15"/>
  <c r="DI15"/>
  <c r="BB58"/>
  <c r="DF22" i="22"/>
  <c r="DF18"/>
  <c r="DM18"/>
  <c r="DM16"/>
  <c r="BB54" i="3"/>
  <c r="DM13" i="22"/>
  <c r="BB49" i="3"/>
  <c r="DF13" i="22"/>
  <c r="DR25" i="3"/>
  <c r="CW25"/>
  <c r="CP25"/>
  <c r="CP22"/>
  <c r="DR22"/>
  <c r="CW22"/>
  <c r="DT15"/>
  <c r="CY15"/>
  <c r="CR15"/>
  <c r="DM25"/>
  <c r="DF25"/>
  <c r="DQ20"/>
  <c r="CV20"/>
  <c r="CO20"/>
  <c r="DD10" i="22"/>
  <c r="DK10"/>
  <c r="Q9" i="19"/>
  <c r="O9" i="26"/>
  <c r="R9" i="28"/>
  <c r="Q8" i="19"/>
  <c r="R8" i="28"/>
  <c r="O8" i="26"/>
  <c r="DM10" i="22"/>
  <c r="BB46" i="3"/>
  <c r="DF10" i="22"/>
  <c r="BB56" i="3"/>
  <c r="DF20" i="22"/>
  <c r="DD15" i="3"/>
  <c r="DK15"/>
  <c r="AD11" i="26"/>
  <c r="AH11" i="19"/>
  <c r="AK11" i="28"/>
  <c r="DK9" i="3"/>
  <c r="DD9"/>
  <c r="AK13" i="28"/>
  <c r="AD13" i="26"/>
  <c r="AH13" i="19"/>
  <c r="DM18" i="3"/>
  <c r="DF18"/>
  <c r="AA18" i="19"/>
  <c r="AB18" i="28"/>
  <c r="X18" i="26"/>
  <c r="X20"/>
  <c r="AB20" i="28"/>
  <c r="AA20" i="19"/>
  <c r="DJ18" i="3"/>
  <c r="DC18"/>
  <c r="Q23" i="19"/>
  <c r="R23" i="28"/>
  <c r="O23" i="26"/>
  <c r="AL22" i="28"/>
  <c r="AE22" i="26"/>
  <c r="AI22" i="19"/>
  <c r="AD4" i="26"/>
  <c r="AK4" i="28"/>
  <c r="AH4" i="19"/>
  <c r="AX47" i="3"/>
  <c r="T7" i="28"/>
  <c r="M8" i="25"/>
  <c r="CN11" i="22"/>
  <c r="T8" i="25"/>
  <c r="DP11" i="22"/>
  <c r="AX45" i="3"/>
  <c r="T5" i="28"/>
  <c r="M6" i="25"/>
  <c r="G8" i="4"/>
  <c r="K8" i="26"/>
  <c r="N8" i="28"/>
  <c r="M8" i="19"/>
  <c r="X13" i="28"/>
  <c r="W13" i="19"/>
  <c r="K13" i="4"/>
  <c r="T13" i="26"/>
  <c r="T20"/>
  <c r="X20" i="28"/>
  <c r="K20" i="4"/>
  <c r="W20" i="19"/>
  <c r="K15" i="4"/>
  <c r="T15" i="26"/>
  <c r="X15" i="28"/>
  <c r="W15" i="19"/>
  <c r="G15" i="26"/>
  <c r="G15" i="28"/>
  <c r="H15" i="19"/>
  <c r="H15" i="28"/>
  <c r="H15" i="26"/>
  <c r="I15" i="19"/>
  <c r="D15"/>
  <c r="K15" i="28"/>
  <c r="G17"/>
  <c r="G17" i="26"/>
  <c r="H17" i="19"/>
  <c r="G18" i="26"/>
  <c r="G18" i="28"/>
  <c r="H18" i="19"/>
  <c r="C18" i="26"/>
  <c r="L18" i="28"/>
  <c r="C18" i="19"/>
  <c r="E20" i="4"/>
  <c r="K22" i="6"/>
  <c r="F20" i="26"/>
  <c r="G20" i="19"/>
  <c r="F20" i="28"/>
  <c r="AW24" i="3"/>
  <c r="E11" i="4"/>
  <c r="F11" i="28"/>
  <c r="K13" i="6"/>
  <c r="F11" i="26"/>
  <c r="G11" i="19"/>
  <c r="AW15" i="3"/>
  <c r="I21" i="19"/>
  <c r="H21" i="28"/>
  <c r="H21" i="26"/>
  <c r="P19" i="25"/>
  <c r="AR63" i="3"/>
  <c r="S23" i="28"/>
  <c r="AR44" i="3"/>
  <c r="S4" i="28"/>
  <c r="P5" i="25"/>
  <c r="K23" i="26"/>
  <c r="G23" i="4"/>
  <c r="N23" i="28"/>
  <c r="M23" i="19"/>
  <c r="M21"/>
  <c r="K21" i="26"/>
  <c r="N21" i="28"/>
  <c r="G21" i="4"/>
  <c r="BY15" i="22"/>
  <c r="BR15"/>
  <c r="CF15"/>
  <c r="DH15"/>
  <c r="DA15"/>
  <c r="F12" i="25"/>
  <c r="CP17" i="22"/>
  <c r="AP14" i="25"/>
  <c r="DR17" i="22"/>
  <c r="AL17" i="25"/>
  <c r="AT58" i="3"/>
  <c r="AM18" i="28"/>
  <c r="CI13" i="3"/>
  <c r="BG13"/>
  <c r="X5" i="28"/>
  <c r="K5" i="4"/>
  <c r="W5" i="19"/>
  <c r="T5" i="26"/>
  <c r="W7" i="19"/>
  <c r="X7" i="28"/>
  <c r="T7" i="26"/>
  <c r="K7" i="4"/>
  <c r="M13" i="25"/>
  <c r="AX52" i="3"/>
  <c r="T12" i="28"/>
  <c r="CG24" i="3"/>
  <c r="BE24"/>
  <c r="CG26"/>
  <c r="BE26"/>
  <c r="CG22"/>
  <c r="BE22"/>
  <c r="CQ14"/>
  <c r="H13" i="9"/>
  <c r="DS14" i="3"/>
  <c r="AI8" i="25"/>
  <c r="AZ47" i="3"/>
  <c r="AN7" i="28"/>
  <c r="AL15" i="25"/>
  <c r="AT55" i="3"/>
  <c r="AM15" i="28"/>
  <c r="AH19"/>
  <c r="AA19" i="26"/>
  <c r="AE19" i="19"/>
  <c r="O19" i="4"/>
  <c r="CV10" i="22"/>
  <c r="AG7" i="25"/>
  <c r="DQ10" i="22"/>
  <c r="G23" i="28"/>
  <c r="G23" i="26"/>
  <c r="H23" i="19"/>
  <c r="H23" i="28"/>
  <c r="H23" i="26"/>
  <c r="I23" i="19"/>
  <c r="K23" i="28"/>
  <c r="D23" i="19"/>
  <c r="G10" i="28"/>
  <c r="H10" i="19"/>
  <c r="G10" i="26"/>
  <c r="BY17" i="3"/>
  <c r="F13" i="28"/>
  <c r="F13" i="26"/>
  <c r="G13" i="19"/>
  <c r="K15" i="6"/>
  <c r="E13" i="4"/>
  <c r="AW17" i="3"/>
  <c r="CM9"/>
  <c r="G8" i="28"/>
  <c r="G8" i="26"/>
  <c r="H8" i="19"/>
  <c r="M4"/>
  <c r="K4" i="26"/>
  <c r="N4" i="28"/>
  <c r="G4" i="4"/>
  <c r="AZ49" i="3"/>
  <c r="AN9" i="28"/>
  <c r="AI10" i="25"/>
  <c r="CI22" i="3"/>
  <c r="BG22"/>
  <c r="DE20" i="22"/>
  <c r="AU59" i="3"/>
  <c r="DL20" i="22"/>
  <c r="BA59" i="3"/>
  <c r="DI20"/>
  <c r="DB20"/>
  <c r="DC21"/>
  <c r="DJ21"/>
  <c r="DC15"/>
  <c r="DJ15"/>
  <c r="DE18" i="22"/>
  <c r="AU56" i="3"/>
  <c r="DL18" i="22"/>
  <c r="BA56" i="3"/>
  <c r="DE19" i="22"/>
  <c r="AU57" i="3"/>
  <c r="DL19" i="22"/>
  <c r="BA57" i="3"/>
  <c r="DI11"/>
  <c r="DB11"/>
  <c r="DF9" i="22"/>
  <c r="DM9"/>
  <c r="BB45" i="3"/>
  <c r="DK10"/>
  <c r="DD10"/>
  <c r="DJ20"/>
  <c r="DC20"/>
  <c r="DI18"/>
  <c r="DB18"/>
  <c r="DM14" i="22"/>
  <c r="BB50" i="3"/>
  <c r="DF14" i="22"/>
  <c r="DK20" i="3"/>
  <c r="DD20"/>
  <c r="DB16"/>
  <c r="DI16"/>
  <c r="DZ10" i="22"/>
  <c r="M12" i="25"/>
  <c r="AX51" i="3"/>
  <c r="T11" i="28"/>
  <c r="CN15" i="22"/>
  <c r="T12" i="25"/>
  <c r="DP15" i="22"/>
  <c r="P11" i="25"/>
  <c r="AR50" i="3"/>
  <c r="S10" i="28"/>
  <c r="P10" i="25"/>
  <c r="AR49" i="3"/>
  <c r="S9" i="28"/>
  <c r="CN13" i="22"/>
  <c r="T10" i="25"/>
  <c r="DP13" i="22"/>
  <c r="AR54" i="3"/>
  <c r="S14" i="28"/>
  <c r="P14" i="25"/>
  <c r="BA23" i="3"/>
  <c r="G22" i="9"/>
  <c r="F22"/>
  <c r="BA24" i="3"/>
  <c r="G23" i="9"/>
  <c r="F23"/>
  <c r="G17"/>
  <c r="F17"/>
  <c r="BA18" i="3"/>
  <c r="G26" i="9"/>
  <c r="F26"/>
  <c r="BA27" i="3"/>
  <c r="G18" i="9"/>
  <c r="F18"/>
  <c r="BA19" i="3"/>
  <c r="G11" i="9"/>
  <c r="F11"/>
  <c r="BA12" i="3"/>
  <c r="AZ48"/>
  <c r="AN8" i="28"/>
  <c r="AI9" i="25"/>
  <c r="DR9" i="3"/>
  <c r="DR10"/>
  <c r="DR11"/>
  <c r="DR13"/>
  <c r="DR14"/>
  <c r="DY8"/>
  <c r="CW9"/>
  <c r="CP9"/>
  <c r="AE13" i="19"/>
  <c r="AA13" i="26"/>
  <c r="O13" i="4"/>
  <c r="AH13" i="28"/>
  <c r="CO13" i="22"/>
  <c r="AF10" i="25"/>
  <c r="DQ13" i="22"/>
  <c r="BR18"/>
  <c r="CF18"/>
  <c r="DH18"/>
  <c r="AW55" i="3"/>
  <c r="J15" i="28"/>
  <c r="DA18" i="22"/>
  <c r="AQ55" i="3"/>
  <c r="I15" i="28"/>
  <c r="C19" i="19"/>
  <c r="L19" i="28"/>
  <c r="C19" i="26"/>
  <c r="K19" i="28"/>
  <c r="D19" i="19"/>
  <c r="F17" i="26"/>
  <c r="E17" i="4"/>
  <c r="K19" i="6"/>
  <c r="F17" i="28"/>
  <c r="G17" i="19"/>
  <c r="AW21" i="3"/>
  <c r="BR19" i="22"/>
  <c r="CF19"/>
  <c r="DH19"/>
  <c r="AW58" i="3"/>
  <c r="J18" i="28"/>
  <c r="DA19" i="22"/>
  <c r="AQ58" i="3"/>
  <c r="I18" i="28"/>
  <c r="BY20" i="3"/>
  <c r="G16" i="19"/>
  <c r="F16" i="26"/>
  <c r="K18" i="6"/>
  <c r="F16" i="28"/>
  <c r="E16" i="4"/>
  <c r="AW20" i="3"/>
  <c r="M15" i="25"/>
  <c r="AX56" i="3"/>
  <c r="T16" i="28"/>
  <c r="AX58" i="3"/>
  <c r="T18" i="28"/>
  <c r="M16" i="25"/>
  <c r="CU19" i="22"/>
  <c r="U16" i="25"/>
  <c r="DP19" i="22"/>
  <c r="DP9" i="3"/>
  <c r="CU9"/>
  <c r="CN9"/>
  <c r="BY14" i="22"/>
  <c r="CM14"/>
  <c r="J11" i="25"/>
  <c r="BR14" i="22"/>
  <c r="CF14"/>
  <c r="DA14"/>
  <c r="F11" i="25"/>
  <c r="DH14" i="22"/>
  <c r="C11" i="25"/>
  <c r="BY8" i="22"/>
  <c r="BR8"/>
  <c r="CF8"/>
  <c r="DH8"/>
  <c r="DA8"/>
  <c r="F5" i="25"/>
  <c r="BR17" i="22"/>
  <c r="CF17"/>
  <c r="DA17"/>
  <c r="F14" i="25"/>
  <c r="BY17" i="22"/>
  <c r="CM17"/>
  <c r="J14" i="25"/>
  <c r="AA22" i="26"/>
  <c r="AH22" i="28"/>
  <c r="AE22" i="19"/>
  <c r="O22" i="4"/>
  <c r="G13" i="9"/>
  <c r="F13"/>
  <c r="BA14" i="3"/>
  <c r="G14" i="9"/>
  <c r="F14"/>
  <c r="BA15" i="3"/>
  <c r="G16" i="9"/>
  <c r="F16"/>
  <c r="BA17" i="3"/>
  <c r="AB15" i="28"/>
  <c r="X15" i="26"/>
  <c r="AA15" i="19"/>
  <c r="AA15" i="28"/>
  <c r="W15" i="26"/>
  <c r="Z15" i="19"/>
  <c r="K25" i="6"/>
  <c r="E23" i="4"/>
  <c r="F23" i="26"/>
  <c r="G23" i="19"/>
  <c r="F23" i="28"/>
  <c r="AW27" i="3"/>
  <c r="E10" i="4"/>
  <c r="K12" i="6"/>
  <c r="G10" i="19"/>
  <c r="F10" i="26"/>
  <c r="F10" i="28"/>
  <c r="AW14" i="3"/>
  <c r="G5" i="19"/>
  <c r="F5" i="26"/>
  <c r="K7" i="6"/>
  <c r="E5" i="4"/>
  <c r="F5" i="28"/>
  <c r="AW9" i="3"/>
  <c r="I14" i="19"/>
  <c r="H14" i="26"/>
  <c r="H14" i="28"/>
  <c r="G14"/>
  <c r="H14" i="19"/>
  <c r="G14" i="26"/>
  <c r="F8" i="28"/>
  <c r="K10" i="6"/>
  <c r="E8" i="4"/>
  <c r="F8" i="26"/>
  <c r="G8" i="19"/>
  <c r="AW12" i="3"/>
  <c r="M7" i="25"/>
  <c r="AX46" i="3"/>
  <c r="T6" i="28"/>
  <c r="AX48" i="3"/>
  <c r="T8" i="28"/>
  <c r="M9" i="25"/>
  <c r="DP11" i="3"/>
  <c r="CN11"/>
  <c r="CU11"/>
  <c r="BY13" i="22"/>
  <c r="CT13"/>
  <c r="K10" i="25"/>
  <c r="CM13" i="22"/>
  <c r="J10" i="25"/>
  <c r="BR13" i="22"/>
  <c r="CF13"/>
  <c r="DH13"/>
  <c r="DA13"/>
  <c r="F10" i="25"/>
  <c r="AH7" i="19"/>
  <c r="AK7" i="28"/>
  <c r="AD7" i="26"/>
  <c r="CV16" i="22"/>
  <c r="AG13" i="25"/>
  <c r="DQ16" i="22"/>
  <c r="CO14"/>
  <c r="AF11" i="25"/>
  <c r="DQ14" i="22"/>
  <c r="O20" i="26"/>
  <c r="R20" i="28"/>
  <c r="Q20" i="19"/>
  <c r="Q20" i="28"/>
  <c r="N20" i="26"/>
  <c r="P20" i="19"/>
  <c r="N18" i="26"/>
  <c r="P18" i="19"/>
  <c r="Q18" i="28"/>
  <c r="X8" i="26"/>
  <c r="AB8" i="28"/>
  <c r="AA8" i="19"/>
  <c r="Z8"/>
  <c r="W8" i="26"/>
  <c r="AA8" i="28"/>
  <c r="R4"/>
  <c r="Q4" i="19"/>
  <c r="O4" i="26"/>
  <c r="AE15"/>
  <c r="AL15" i="28"/>
  <c r="AI15" i="19"/>
  <c r="DQ25" i="3"/>
  <c r="DT21"/>
  <c r="DQ9"/>
  <c r="DQ10"/>
  <c r="CJ23"/>
  <c r="DS19"/>
  <c r="CQ19"/>
  <c r="H18" i="9"/>
  <c r="DS12" i="3"/>
  <c r="DS20"/>
  <c r="DT23"/>
  <c r="AS54"/>
  <c r="AC14" i="28"/>
  <c r="CF20" i="3"/>
  <c r="BG14"/>
  <c r="BI19"/>
  <c r="DS16"/>
  <c r="DS25"/>
  <c r="DS13"/>
  <c r="DS17"/>
  <c r="DR11" i="22"/>
  <c r="DR18"/>
  <c r="DT20" i="3"/>
  <c r="BI17"/>
  <c r="DQ20" i="22"/>
  <c r="AS57" i="3"/>
  <c r="AC17" i="28"/>
  <c r="BF25" i="3"/>
  <c r="CF14"/>
  <c r="CF9"/>
  <c r="CF12"/>
  <c r="DP20" i="22"/>
  <c r="DT11" i="3"/>
  <c r="DT16"/>
  <c r="DT19"/>
  <c r="DQ8"/>
  <c r="AY56"/>
  <c r="AD16" i="28"/>
  <c r="AS59" i="3"/>
  <c r="AC19" i="28"/>
  <c r="DQ13" i="3"/>
  <c r="CG19"/>
  <c r="DR15"/>
  <c r="CK20"/>
  <c r="CK27"/>
  <c r="DQ22"/>
  <c r="DQ24"/>
  <c r="CG27"/>
  <c r="CI11"/>
  <c r="DT13"/>
  <c r="DT22"/>
  <c r="CK11"/>
  <c r="CK19"/>
  <c r="CH27"/>
  <c r="DQ11"/>
  <c r="DS12" i="22"/>
  <c r="DS13"/>
  <c r="DP21"/>
  <c r="BE18" i="3"/>
  <c r="DL22" i="22"/>
  <c r="BA63" i="3"/>
  <c r="DR14" i="22"/>
  <c r="DR12"/>
  <c r="AZ51" i="3"/>
  <c r="AN11" i="28"/>
  <c r="BG21" i="3"/>
  <c r="BG9"/>
  <c r="BG20"/>
  <c r="BF18"/>
  <c r="CF24"/>
  <c r="BY24"/>
  <c r="CF15"/>
  <c r="BD14" i="22"/>
  <c r="E11" i="25"/>
  <c r="DR19" i="22"/>
  <c r="AT44" i="3"/>
  <c r="AM4" i="28"/>
  <c r="AZ50" i="3"/>
  <c r="AN10" i="28"/>
  <c r="BI16" i="3"/>
  <c r="BF16"/>
  <c r="BF10"/>
  <c r="AY46"/>
  <c r="AD6" i="28"/>
  <c r="BE23" i="3"/>
  <c r="AR60"/>
  <c r="S20" i="28"/>
  <c r="BG18" i="3"/>
  <c r="BG12"/>
  <c r="DT18"/>
  <c r="DT8"/>
  <c r="BF21"/>
  <c r="AY62"/>
  <c r="AD22" i="28"/>
  <c r="BF15" i="3"/>
  <c r="DP10" i="22"/>
  <c r="BE10" i="3"/>
  <c r="BD13" i="22"/>
  <c r="E10" i="25"/>
  <c r="BD22" i="22"/>
  <c r="E19" i="25"/>
  <c r="BD10" i="22"/>
  <c r="E7" i="25"/>
  <c r="BD12" i="22"/>
  <c r="E9" i="25"/>
  <c r="BD20" i="22"/>
  <c r="E17" i="25"/>
  <c r="DR21" i="22"/>
  <c r="DR26" i="3"/>
  <c r="BG25"/>
  <c r="BG10"/>
  <c r="BI14"/>
  <c r="AS50"/>
  <c r="AC10" i="28"/>
  <c r="BF20" i="3"/>
  <c r="DP15"/>
  <c r="DR19"/>
  <c r="DE13" i="22"/>
  <c r="AU49" i="3"/>
  <c r="DL13" i="22"/>
  <c r="BA49" i="3"/>
  <c r="DL16" i="22"/>
  <c r="BA53" i="3"/>
  <c r="DE16" i="22"/>
  <c r="AU53" i="3"/>
  <c r="DP20"/>
  <c r="CU20"/>
  <c r="CN20"/>
  <c r="DK12"/>
  <c r="DD12"/>
  <c r="DF26"/>
  <c r="DM26"/>
  <c r="CY12"/>
  <c r="DT12"/>
  <c r="CR12"/>
  <c r="CY10"/>
  <c r="DT10"/>
  <c r="CR10"/>
  <c r="DJ26"/>
  <c r="DC26"/>
  <c r="DJ12"/>
  <c r="DC12"/>
  <c r="DL15" i="22"/>
  <c r="BA51" i="3"/>
  <c r="DE15" i="22"/>
  <c r="AU51" i="3"/>
  <c r="DE22" i="22"/>
  <c r="AU63" i="3"/>
  <c r="DI10"/>
  <c r="DB10"/>
  <c r="DF16" i="22"/>
  <c r="DM15"/>
  <c r="BB52" i="3"/>
  <c r="DK19"/>
  <c r="DD19"/>
  <c r="CW10"/>
  <c r="CP10"/>
  <c r="DF15"/>
  <c r="DM15"/>
  <c r="DM14"/>
  <c r="DF14"/>
  <c r="DT25"/>
  <c r="CY25"/>
  <c r="CR25"/>
  <c r="DJ14"/>
  <c r="DC14"/>
  <c r="CV23"/>
  <c r="DQ23"/>
  <c r="CO23"/>
  <c r="DI13"/>
  <c r="DB13"/>
  <c r="DF12" i="22"/>
  <c r="DM12"/>
  <c r="BB48" i="3"/>
  <c r="DF15" i="22"/>
  <c r="BB51" i="3"/>
  <c r="DM17" i="22"/>
  <c r="BB53" i="3"/>
  <c r="DF17" i="22"/>
  <c r="AE11" i="26"/>
  <c r="AL11" i="28"/>
  <c r="AI11" i="19"/>
  <c r="DK17" i="3"/>
  <c r="DD17"/>
  <c r="AE13" i="26"/>
  <c r="AI13" i="19"/>
  <c r="AL13" i="28"/>
  <c r="DM8" i="3"/>
  <c r="DF8"/>
  <c r="AA18" i="28"/>
  <c r="Z18" i="19"/>
  <c r="W18" i="26"/>
  <c r="Z20" i="19"/>
  <c r="W20" i="26"/>
  <c r="AA20" i="28"/>
  <c r="DI9" i="3"/>
  <c r="DB9"/>
  <c r="DI14"/>
  <c r="DB14"/>
  <c r="DD26"/>
  <c r="DK26"/>
  <c r="AD22" i="26"/>
  <c r="AH22" i="19"/>
  <c r="AK22" i="28"/>
  <c r="AE4" i="26"/>
  <c r="AI4" i="19"/>
  <c r="AL4" i="28"/>
  <c r="DM24" i="3"/>
  <c r="DF24"/>
  <c r="DC8"/>
  <c r="DJ8"/>
  <c r="DJ10"/>
  <c r="DC10"/>
  <c r="AR45"/>
  <c r="S5" i="28"/>
  <c r="P6" i="25"/>
  <c r="CU9" i="22"/>
  <c r="U6" i="25"/>
  <c r="DP9" i="22"/>
  <c r="M15" i="19"/>
  <c r="K15" i="26"/>
  <c r="N15" i="28"/>
  <c r="G15" i="4"/>
  <c r="CO18" i="22"/>
  <c r="AF15" i="25"/>
  <c r="DQ18" i="22"/>
  <c r="X18" i="28"/>
  <c r="K18" i="4"/>
  <c r="T18" i="26"/>
  <c r="W18" i="19"/>
  <c r="C15" i="26"/>
  <c r="C15" i="19"/>
  <c r="L15" i="28"/>
  <c r="BR20" i="22"/>
  <c r="CF20"/>
  <c r="DA20"/>
  <c r="AQ59" i="3"/>
  <c r="I19" i="28"/>
  <c r="DH20" i="22"/>
  <c r="AW59" i="3"/>
  <c r="J19" i="28"/>
  <c r="F19"/>
  <c r="F19" i="26"/>
  <c r="K21" i="6"/>
  <c r="E19" i="4"/>
  <c r="G19" i="19"/>
  <c r="H18" i="26"/>
  <c r="H18" i="28"/>
  <c r="I18" i="19"/>
  <c r="K18" i="28"/>
  <c r="D18" i="19"/>
  <c r="G21" i="26"/>
  <c r="G21" i="28"/>
  <c r="H21" i="19"/>
  <c r="M19" i="25"/>
  <c r="AX63" i="3"/>
  <c r="T23" i="28"/>
  <c r="CN22" i="22"/>
  <c r="T19" i="25"/>
  <c r="DP22" i="22"/>
  <c r="BY19"/>
  <c r="CM19"/>
  <c r="J16" i="25"/>
  <c r="F16"/>
  <c r="C16"/>
  <c r="AZ58" i="3"/>
  <c r="AN18" i="28"/>
  <c r="AI17" i="25"/>
  <c r="CW20" i="22"/>
  <c r="AQ17" i="25"/>
  <c r="DR20" i="22"/>
  <c r="AA7" i="26"/>
  <c r="AH7" i="28"/>
  <c r="O7" i="4"/>
  <c r="AE7" i="19"/>
  <c r="O4" i="4"/>
  <c r="AA4" i="26"/>
  <c r="AE4" i="19"/>
  <c r="AH4" i="28"/>
  <c r="W23" i="19"/>
  <c r="X23" i="28"/>
  <c r="T23" i="26"/>
  <c r="K23" i="4"/>
  <c r="AR52" i="3"/>
  <c r="S12" i="28"/>
  <c r="P13" i="25"/>
  <c r="CU16" i="22"/>
  <c r="U13" i="25"/>
  <c r="DP16" i="22"/>
  <c r="DP26" i="3"/>
  <c r="CN26"/>
  <c r="CU26"/>
  <c r="CX10"/>
  <c r="I9" i="9"/>
  <c r="DS10" i="3"/>
  <c r="AT47"/>
  <c r="AM7" i="28"/>
  <c r="AL8" i="25"/>
  <c r="AZ55" i="3"/>
  <c r="AN15" i="28"/>
  <c r="AI15" i="25"/>
  <c r="CP8" i="22"/>
  <c r="AP5" i="25"/>
  <c r="DR8" i="22"/>
  <c r="CV9"/>
  <c r="AG6" i="25"/>
  <c r="DQ9" i="22"/>
  <c r="AW16" i="3"/>
  <c r="BD16"/>
  <c r="G12" i="19"/>
  <c r="F12" i="28"/>
  <c r="K14" i="6"/>
  <c r="E12" i="4"/>
  <c r="F12" i="26"/>
  <c r="C23"/>
  <c r="L23" i="28"/>
  <c r="C23" i="19"/>
  <c r="AQ49" i="3"/>
  <c r="I9" i="28"/>
  <c r="BY13" i="3"/>
  <c r="E9" i="4"/>
  <c r="K11" i="6"/>
  <c r="F9" i="26"/>
  <c r="F9" i="28"/>
  <c r="G9" i="19"/>
  <c r="AW13" i="3"/>
  <c r="BD13"/>
  <c r="H10" i="28"/>
  <c r="H10" i="26"/>
  <c r="I10" i="19"/>
  <c r="F7" i="26"/>
  <c r="K9" i="6"/>
  <c r="G7" i="19"/>
  <c r="F7" i="28"/>
  <c r="E7" i="4"/>
  <c r="AW11" i="3"/>
  <c r="BR16" i="22"/>
  <c r="CF16"/>
  <c r="DA16"/>
  <c r="AQ53" i="3"/>
  <c r="I13" i="28"/>
  <c r="AQ54" i="3"/>
  <c r="I14" i="28"/>
  <c r="DH17" i="22"/>
  <c r="AW54" i="3"/>
  <c r="J14" i="28"/>
  <c r="F14"/>
  <c r="G14" i="19"/>
  <c r="K16" i="6"/>
  <c r="E14" i="4"/>
  <c r="F14" i="26"/>
  <c r="I8" i="19"/>
  <c r="H8" i="26"/>
  <c r="H8" i="28"/>
  <c r="M11" i="19"/>
  <c r="N11" i="28"/>
  <c r="G11" i="4"/>
  <c r="K11" i="26"/>
  <c r="AH15" i="28"/>
  <c r="AE15" i="19"/>
  <c r="O15" i="4"/>
  <c r="AA15" i="26"/>
  <c r="X4"/>
  <c r="AB4" i="28"/>
  <c r="AA4" i="19"/>
  <c r="DL12" i="22"/>
  <c r="BA48" i="3"/>
  <c r="DE12" i="22"/>
  <c r="AU48" i="3"/>
  <c r="CK23"/>
  <c r="BI23"/>
  <c r="DD18"/>
  <c r="DK18"/>
  <c r="CY26"/>
  <c r="DT26"/>
  <c r="CR26"/>
  <c r="CV21"/>
  <c r="DQ21"/>
  <c r="CO21"/>
  <c r="CV15"/>
  <c r="DQ15"/>
  <c r="CO15"/>
  <c r="DL21" i="22"/>
  <c r="BA62" i="3"/>
  <c r="DE21" i="22"/>
  <c r="AU62" i="3"/>
  <c r="DP10"/>
  <c r="CN10"/>
  <c r="CU10"/>
  <c r="DF19" i="22"/>
  <c r="BB55" i="3"/>
  <c r="BB57"/>
  <c r="DF21" i="22"/>
  <c r="DD25" i="3"/>
  <c r="DK25"/>
  <c r="CY14"/>
  <c r="DT14"/>
  <c r="CR14"/>
  <c r="DQ14"/>
  <c r="CV14"/>
  <c r="CO14"/>
  <c r="DC23"/>
  <c r="DJ23"/>
  <c r="Q9" i="28"/>
  <c r="P9" i="19"/>
  <c r="N9" i="26"/>
  <c r="DM11" i="22"/>
  <c r="BB47" i="3"/>
  <c r="DF11" i="22"/>
  <c r="DM9" i="3"/>
  <c r="DF9"/>
  <c r="DM13"/>
  <c r="DF13"/>
  <c r="DF22"/>
  <c r="DM22"/>
  <c r="DF16"/>
  <c r="DM16"/>
  <c r="DC16"/>
  <c r="DJ16"/>
  <c r="DE14" i="22"/>
  <c r="AU50" i="3"/>
  <c r="DL14" i="22"/>
  <c r="BA50" i="3"/>
  <c r="AX50"/>
  <c r="T10" i="28"/>
  <c r="M11" i="25"/>
  <c r="CN14" i="22"/>
  <c r="T11" i="25"/>
  <c r="DP14" i="22"/>
  <c r="AX54" i="3"/>
  <c r="T14" i="28"/>
  <c r="M14" i="25"/>
  <c r="CU17" i="22"/>
  <c r="U14" i="25"/>
  <c r="DP17" i="22"/>
  <c r="G20" i="9"/>
  <c r="F20"/>
  <c r="BA21" i="3"/>
  <c r="AU60"/>
  <c r="BA60"/>
  <c r="G10" i="9"/>
  <c r="F10"/>
  <c r="BA11" i="3"/>
  <c r="BA54"/>
  <c r="AU54"/>
  <c r="BA58"/>
  <c r="AU58"/>
  <c r="BA22"/>
  <c r="BH22"/>
  <c r="C21" i="9"/>
  <c r="G21"/>
  <c r="F21"/>
  <c r="G19"/>
  <c r="F19"/>
  <c r="BA20" i="3"/>
  <c r="BH20"/>
  <c r="C19" i="9"/>
  <c r="AT48" i="3"/>
  <c r="AM8" i="28"/>
  <c r="AL9" i="25"/>
  <c r="DR20" i="3"/>
  <c r="CP20"/>
  <c r="CW20"/>
  <c r="CO11" i="22"/>
  <c r="AF8" i="25"/>
  <c r="DQ11" i="22"/>
  <c r="F15" i="26"/>
  <c r="K17" i="6"/>
  <c r="F15" i="28"/>
  <c r="G15" i="19"/>
  <c r="E15" i="4"/>
  <c r="BD19" i="3"/>
  <c r="H19" i="28"/>
  <c r="I19" i="19"/>
  <c r="H19" i="26"/>
  <c r="G19" i="28"/>
  <c r="H19" i="19"/>
  <c r="G19" i="26"/>
  <c r="AQ44" i="3"/>
  <c r="I4" i="28"/>
  <c r="BY8" i="3"/>
  <c r="BY10"/>
  <c r="BY11"/>
  <c r="BY15"/>
  <c r="BY16"/>
  <c r="BY26"/>
  <c r="DO9"/>
  <c r="F4" i="28"/>
  <c r="F4" i="26"/>
  <c r="K6" i="6"/>
  <c r="G4" i="19"/>
  <c r="E4" i="4"/>
  <c r="AW8" i="3"/>
  <c r="BD8"/>
  <c r="BR10" i="22"/>
  <c r="CF10"/>
  <c r="DA10"/>
  <c r="AQ46" i="3"/>
  <c r="I6" i="28"/>
  <c r="G6" i="19"/>
  <c r="K8" i="6"/>
  <c r="F6" i="26"/>
  <c r="E6" i="4"/>
  <c r="F6" i="28"/>
  <c r="AW10" i="3"/>
  <c r="BD10"/>
  <c r="F18" i="26"/>
  <c r="K20" i="6"/>
  <c r="E18" i="4"/>
  <c r="G18" i="19"/>
  <c r="F18" i="28"/>
  <c r="BD22" i="3"/>
  <c r="G21" i="19"/>
  <c r="E21" i="4"/>
  <c r="F21" i="26"/>
  <c r="F21" i="28"/>
  <c r="K23" i="6"/>
  <c r="AW25" i="3"/>
  <c r="AW26"/>
  <c r="BD25"/>
  <c r="AR56"/>
  <c r="S16" i="28"/>
  <c r="P15" i="25"/>
  <c r="CN18" i="22"/>
  <c r="T15" i="25"/>
  <c r="DP18" i="22"/>
  <c r="BY18"/>
  <c r="BY11"/>
  <c r="CT11"/>
  <c r="K8" i="25"/>
  <c r="BR11" i="22"/>
  <c r="CF11"/>
  <c r="DA11"/>
  <c r="F8" i="25"/>
  <c r="DH11" i="22"/>
  <c r="C8" i="25"/>
  <c r="BY9" i="22"/>
  <c r="CT9"/>
  <c r="K6" i="25"/>
  <c r="BR9" i="22"/>
  <c r="CF9"/>
  <c r="DH9"/>
  <c r="C6" i="25"/>
  <c r="DA9" i="22"/>
  <c r="F6" i="25"/>
  <c r="CV12" i="22"/>
  <c r="AG9" i="25"/>
  <c r="DQ12" i="22"/>
  <c r="AU52" i="3"/>
  <c r="BA52"/>
  <c r="BA16"/>
  <c r="BH16"/>
  <c r="C15" i="9"/>
  <c r="G15"/>
  <c r="F15"/>
  <c r="AU61" i="3"/>
  <c r="BA61"/>
  <c r="G24" i="9"/>
  <c r="F24"/>
  <c r="BA25" i="3"/>
  <c r="BA26"/>
  <c r="BH25"/>
  <c r="C24" i="9"/>
  <c r="CJ26" i="3"/>
  <c r="G25" i="9"/>
  <c r="F25"/>
  <c r="BA13" i="3"/>
  <c r="BH13"/>
  <c r="C12" i="9"/>
  <c r="G12"/>
  <c r="F12"/>
  <c r="G7"/>
  <c r="F7"/>
  <c r="BA8" i="3"/>
  <c r="G9" i="9"/>
  <c r="F9"/>
  <c r="BA10" i="3"/>
  <c r="G8" i="9"/>
  <c r="F8"/>
  <c r="BA9" i="3"/>
  <c r="CW22" i="22"/>
  <c r="AQ19" i="25"/>
  <c r="DR22" i="22"/>
  <c r="CV19"/>
  <c r="AG16" i="25"/>
  <c r="DQ19" i="22"/>
  <c r="W14" i="26"/>
  <c r="AA14" i="28"/>
  <c r="Z14" i="19"/>
  <c r="AA14"/>
  <c r="AB14" i="28"/>
  <c r="X14" i="26"/>
  <c r="AW63" i="3"/>
  <c r="J23" i="28"/>
  <c r="AQ63" i="3"/>
  <c r="I23" i="28"/>
  <c r="AQ50" i="3"/>
  <c r="I10" i="28"/>
  <c r="AW50" i="3"/>
  <c r="J10" i="28"/>
  <c r="F22"/>
  <c r="E22" i="4"/>
  <c r="G22" i="19"/>
  <c r="K24" i="6"/>
  <c r="F22" i="26"/>
  <c r="AQ45" i="3"/>
  <c r="I5" i="28"/>
  <c r="AW45" i="3"/>
  <c r="J5" i="28"/>
  <c r="L14"/>
  <c r="C14" i="19"/>
  <c r="C14" i="26"/>
  <c r="K14" i="28"/>
  <c r="D14" i="19"/>
  <c r="P7" i="25"/>
  <c r="AR46" i="3"/>
  <c r="S6" i="28"/>
  <c r="P9" i="25"/>
  <c r="AR48" i="3"/>
  <c r="S8" i="28"/>
  <c r="BR21" i="22"/>
  <c r="CF21"/>
  <c r="DH21"/>
  <c r="C18" i="25"/>
  <c r="BY21" i="22"/>
  <c r="DA21"/>
  <c r="F18" i="25"/>
  <c r="CM21" i="22"/>
  <c r="J18" i="25"/>
  <c r="BY16" i="22"/>
  <c r="DH16"/>
  <c r="F13" i="25"/>
  <c r="BY22" i="22"/>
  <c r="CM22"/>
  <c r="J19" i="25"/>
  <c r="BR22" i="22"/>
  <c r="CF22"/>
  <c r="DH22"/>
  <c r="C19" i="25"/>
  <c r="DA22" i="22"/>
  <c r="F19" i="25"/>
  <c r="BY10" i="22"/>
  <c r="F7" i="25"/>
  <c r="CT10" i="22"/>
  <c r="K7" i="25"/>
  <c r="DH10" i="22"/>
  <c r="C7" i="25"/>
  <c r="BY12" i="22"/>
  <c r="BR12"/>
  <c r="CF12"/>
  <c r="DH12"/>
  <c r="C9" i="25"/>
  <c r="DA12" i="22"/>
  <c r="F9" i="25"/>
  <c r="BY20" i="22"/>
  <c r="C17" i="25"/>
  <c r="F17"/>
  <c r="CY8" i="22"/>
  <c r="DT8"/>
  <c r="CO8"/>
  <c r="AF5" i="25"/>
  <c r="DQ8" i="22"/>
  <c r="CV21"/>
  <c r="AG18" i="25"/>
  <c r="DQ21" i="22"/>
  <c r="Q11" i="19"/>
  <c r="R11" i="28"/>
  <c r="O11" i="26"/>
  <c r="N11"/>
  <c r="P11" i="19"/>
  <c r="Q11" i="28"/>
  <c r="R18"/>
  <c r="Q18" i="19"/>
  <c r="O18" i="26"/>
  <c r="P4" i="19"/>
  <c r="N4" i="26"/>
  <c r="Q4" i="28"/>
  <c r="AH15" i="19"/>
  <c r="AK15" i="28"/>
  <c r="AD15" i="26"/>
  <c r="DR16" i="3"/>
  <c r="CG12"/>
  <c r="DP18"/>
  <c r="DR21"/>
  <c r="DT9"/>
  <c r="DQ17"/>
  <c r="CH19"/>
  <c r="DP27"/>
  <c r="DQ16"/>
  <c r="CU11" i="22"/>
  <c r="U8" i="25"/>
  <c r="BE13" i="3"/>
  <c r="DS21"/>
  <c r="DS23"/>
  <c r="CX23"/>
  <c r="I22" i="9"/>
  <c r="CJ24" i="3"/>
  <c r="CJ11"/>
  <c r="DS18"/>
  <c r="DS27"/>
  <c r="CX19"/>
  <c r="I18" i="9"/>
  <c r="CJ19" i="3"/>
  <c r="CJ12"/>
  <c r="CQ20"/>
  <c r="H19" i="9"/>
  <c r="CJ20" i="3"/>
  <c r="DR9" i="22"/>
  <c r="BG15" i="3"/>
  <c r="AT53"/>
  <c r="AM13" i="28"/>
  <c r="BI21" i="3"/>
  <c r="CV15" i="22"/>
  <c r="AG12" i="25"/>
  <c r="AY54" i="3"/>
  <c r="AD14" i="28"/>
  <c r="DO19" i="3"/>
  <c r="CF21"/>
  <c r="CT21"/>
  <c r="CF10"/>
  <c r="DO22"/>
  <c r="DP8" i="22"/>
  <c r="CW17"/>
  <c r="AQ14" i="25"/>
  <c r="DR15" i="22"/>
  <c r="DR16"/>
  <c r="DQ17"/>
  <c r="BF8" i="3"/>
  <c r="BE21"/>
  <c r="CX14"/>
  <c r="I13" i="9"/>
  <c r="CJ25" i="3"/>
  <c r="DS26"/>
  <c r="DS15"/>
  <c r="CX13"/>
  <c r="I12" i="9"/>
  <c r="CQ13" i="3"/>
  <c r="H12" i="9"/>
  <c r="DS8" i="3"/>
  <c r="CX17"/>
  <c r="I16" i="9"/>
  <c r="CJ17" i="3"/>
  <c r="DS9"/>
  <c r="CW11" i="22"/>
  <c r="AQ8" i="25"/>
  <c r="CW18" i="22"/>
  <c r="AQ15" i="25"/>
  <c r="BG24" i="3"/>
  <c r="BI12"/>
  <c r="DT27"/>
  <c r="BI10"/>
  <c r="CO10" i="22"/>
  <c r="AF7" i="25"/>
  <c r="CV20" i="22"/>
  <c r="AG17" i="25"/>
  <c r="AY57" i="3"/>
  <c r="AD17" i="28"/>
  <c r="BF26" i="3"/>
  <c r="BF12"/>
  <c r="CF27"/>
  <c r="CF26"/>
  <c r="CT9"/>
  <c r="CU20" i="22"/>
  <c r="U17" i="25"/>
  <c r="DR13" i="22"/>
  <c r="DQ22"/>
  <c r="BF13" i="3"/>
  <c r="AS56"/>
  <c r="AC16" i="28"/>
  <c r="AY59" i="3"/>
  <c r="AD19" i="28"/>
  <c r="DP23" i="3"/>
  <c r="DR23"/>
  <c r="CK17"/>
  <c r="CH25"/>
  <c r="DS19" i="22"/>
  <c r="DR10"/>
  <c r="DP12" i="3"/>
  <c r="DR17"/>
  <c r="CH17"/>
  <c r="CH22"/>
  <c r="CH24"/>
  <c r="CG25"/>
  <c r="DP14"/>
  <c r="CI8"/>
  <c r="CI14"/>
  <c r="CH9"/>
  <c r="DE8" i="22"/>
  <c r="AU44" i="3"/>
  <c r="CX8" i="22"/>
  <c r="CU15"/>
  <c r="U12" i="25"/>
  <c r="CU13" i="22"/>
  <c r="U10" i="25"/>
  <c r="CU21" i="22"/>
  <c r="U18" i="25"/>
  <c r="CP14" i="22"/>
  <c r="AP11" i="25"/>
  <c r="CP12" i="22"/>
  <c r="AP9" i="25"/>
  <c r="AT51" i="3"/>
  <c r="AM11" i="28"/>
  <c r="BI9" i="3"/>
  <c r="CV13" i="22"/>
  <c r="AG10" i="25"/>
  <c r="DS11" i="22"/>
  <c r="CN19"/>
  <c r="T16" i="25"/>
  <c r="BE9" i="3"/>
  <c r="BE17"/>
  <c r="BE16"/>
  <c r="BE14"/>
  <c r="BD18" i="22"/>
  <c r="E15" i="25"/>
  <c r="CW19" i="22"/>
  <c r="AQ16" i="25"/>
  <c r="CP19" i="22"/>
  <c r="AP16" i="25"/>
  <c r="AZ44" i="3"/>
  <c r="AN4" i="28"/>
  <c r="AT50" i="3"/>
  <c r="AM10" i="28"/>
  <c r="BI13" i="3"/>
  <c r="BI22"/>
  <c r="AS46"/>
  <c r="AC6" i="28"/>
  <c r="DS9" i="22"/>
  <c r="DZ18"/>
  <c r="BE20" i="3"/>
  <c r="AR62"/>
  <c r="S22" i="28"/>
  <c r="AT54" i="3"/>
  <c r="AM14" i="28"/>
  <c r="BG16" i="3"/>
  <c r="BI26"/>
  <c r="DC19" i="22"/>
  <c r="AS48" i="3"/>
  <c r="AC8" i="28"/>
  <c r="DQ19" i="3"/>
  <c r="CF17"/>
  <c r="DO18"/>
  <c r="CU10" i="22"/>
  <c r="U7" i="25"/>
  <c r="DP12" i="22"/>
  <c r="BE11" i="3"/>
  <c r="BD16" i="22"/>
  <c r="E13" i="25"/>
  <c r="CP21" i="22"/>
  <c r="AP18" i="25"/>
  <c r="DR24" i="3"/>
  <c r="BG27"/>
  <c r="DT24"/>
  <c r="BI25"/>
  <c r="CO16" i="22"/>
  <c r="AF13" i="25"/>
  <c r="CV14" i="22"/>
  <c r="AG11" i="25"/>
  <c r="BF14" i="3"/>
  <c r="AY50"/>
  <c r="AD10" i="28"/>
  <c r="BF23" i="3"/>
  <c r="DP24"/>
  <c r="DP22"/>
  <c r="DQ12"/>
  <c r="DP8"/>
  <c r="EN18" i="22"/>
  <c r="FI18"/>
  <c r="EG18"/>
  <c r="FP18"/>
  <c r="FW18"/>
  <c r="FB18"/>
  <c r="EU18"/>
  <c r="DE26" i="3"/>
  <c r="DL26"/>
  <c r="C15" i="25"/>
  <c r="AW56" i="3"/>
  <c r="J16" i="28"/>
  <c r="C10" i="25"/>
  <c r="AW49" i="3"/>
  <c r="J9" i="28"/>
  <c r="C12" i="25"/>
  <c r="AW51" i="3"/>
  <c r="J11" i="28"/>
  <c r="C13" i="25"/>
  <c r="AW52" i="3"/>
  <c r="J12" i="28"/>
  <c r="C5" i="25"/>
  <c r="AW44" i="3"/>
  <c r="J4" i="28"/>
  <c r="EM8" i="3"/>
  <c r="AG5" i="21"/>
  <c r="EF8" i="3"/>
  <c r="AF5" i="21"/>
  <c r="FA8" i="3"/>
  <c r="AH5" i="21"/>
  <c r="ET8" i="3"/>
  <c r="FH8"/>
  <c r="AI5" i="21"/>
  <c r="DW22" i="3"/>
  <c r="DW21"/>
  <c r="DW13"/>
  <c r="DW25"/>
  <c r="DW27"/>
  <c r="DW10"/>
  <c r="DW24"/>
  <c r="DW16"/>
  <c r="DW19"/>
  <c r="DW18"/>
  <c r="DW11"/>
  <c r="DW20"/>
  <c r="DW12"/>
  <c r="DW26"/>
  <c r="DW8"/>
  <c r="DW23"/>
  <c r="DW15"/>
  <c r="DW17"/>
  <c r="DW14"/>
  <c r="DW9"/>
  <c r="K19" i="4"/>
  <c r="X19" i="28"/>
  <c r="W19" i="19"/>
  <c r="T19" i="26"/>
  <c r="W10" i="19"/>
  <c r="X10" i="28"/>
  <c r="K10" i="4"/>
  <c r="T10" i="26"/>
  <c r="N7" i="28"/>
  <c r="G7" i="4"/>
  <c r="M7" i="19"/>
  <c r="K7" i="26"/>
  <c r="DH17" i="3"/>
  <c r="DA17"/>
  <c r="DO16"/>
  <c r="CM16"/>
  <c r="CT16"/>
  <c r="K16" i="26"/>
  <c r="M16" i="19"/>
  <c r="N16" i="28"/>
  <c r="G16" i="4"/>
  <c r="G10"/>
  <c r="N10" i="28"/>
  <c r="M10" i="19"/>
  <c r="K10" i="26"/>
  <c r="K13"/>
  <c r="N13" i="28"/>
  <c r="G13" i="4"/>
  <c r="M13" i="19"/>
  <c r="DO15" i="3"/>
  <c r="CM15"/>
  <c r="CT15"/>
  <c r="DK8"/>
  <c r="DD8"/>
  <c r="DJ22"/>
  <c r="DC22"/>
  <c r="W9" i="19"/>
  <c r="T9" i="26"/>
  <c r="X9" i="28"/>
  <c r="K9" i="4"/>
  <c r="DH26" i="3"/>
  <c r="DA26"/>
  <c r="T22" i="26"/>
  <c r="W22" i="19"/>
  <c r="K22" i="4"/>
  <c r="X22" i="28"/>
  <c r="K17" i="26"/>
  <c r="N17" i="28"/>
  <c r="G17" i="4"/>
  <c r="M17" i="19"/>
  <c r="DW20" i="22"/>
  <c r="DW14"/>
  <c r="DW16"/>
  <c r="DW21"/>
  <c r="DW12"/>
  <c r="DW13"/>
  <c r="DW8"/>
  <c r="DW18"/>
  <c r="DW19"/>
  <c r="DW10"/>
  <c r="DW15"/>
  <c r="DW17"/>
  <c r="DW11"/>
  <c r="DW9"/>
  <c r="DW22"/>
  <c r="I17" i="19"/>
  <c r="H17" i="28"/>
  <c r="H17" i="26"/>
  <c r="AE11" i="19"/>
  <c r="O11" i="4"/>
  <c r="AH11" i="28"/>
  <c r="AA11" i="26"/>
  <c r="DE20" i="3"/>
  <c r="DL20"/>
  <c r="DE12"/>
  <c r="DL12"/>
  <c r="K9" i="26"/>
  <c r="G9" i="4"/>
  <c r="M9" i="19"/>
  <c r="N9" i="28"/>
  <c r="DJ19" i="3"/>
  <c r="DC19"/>
  <c r="CM20" i="22"/>
  <c r="J17" i="25"/>
  <c r="DO20" i="22"/>
  <c r="CM12"/>
  <c r="J9" i="25"/>
  <c r="DO12" i="22"/>
  <c r="CM10"/>
  <c r="J7" i="25"/>
  <c r="DO10" i="22"/>
  <c r="CT16"/>
  <c r="K13" i="25"/>
  <c r="DO16" i="22"/>
  <c r="CJ9" i="3"/>
  <c r="BH9"/>
  <c r="C8" i="9"/>
  <c r="CJ10" i="3"/>
  <c r="BH10"/>
  <c r="C9" i="9"/>
  <c r="CJ8" i="3"/>
  <c r="BH8"/>
  <c r="C7" i="9"/>
  <c r="D21" i="28"/>
  <c r="C21" i="4"/>
  <c r="E21" i="19"/>
  <c r="D21" i="26"/>
  <c r="D18"/>
  <c r="E18" i="19"/>
  <c r="C18" i="4"/>
  <c r="D18" i="28"/>
  <c r="C6" i="4"/>
  <c r="D6" i="28"/>
  <c r="D6" i="26"/>
  <c r="E6" i="19"/>
  <c r="DO10" i="3"/>
  <c r="CT10"/>
  <c r="CM10"/>
  <c r="E15" i="19"/>
  <c r="D15" i="26"/>
  <c r="D15" i="28"/>
  <c r="C15" i="4"/>
  <c r="AE16" i="26"/>
  <c r="AI16" i="19"/>
  <c r="AL16" i="28"/>
  <c r="AE12"/>
  <c r="V12" i="19"/>
  <c r="S19" i="26"/>
  <c r="U19" i="19"/>
  <c r="AF19" i="28"/>
  <c r="AA10"/>
  <c r="Z10" i="19"/>
  <c r="W10" i="26"/>
  <c r="AP21" i="28"/>
  <c r="Z21" i="26"/>
  <c r="AC21" i="19"/>
  <c r="O6" i="26"/>
  <c r="Q6" i="19"/>
  <c r="R6" i="28"/>
  <c r="W17" i="26"/>
  <c r="Z17" i="19"/>
  <c r="AA17" i="28"/>
  <c r="AB17"/>
  <c r="X17" i="26"/>
  <c r="AA17" i="19"/>
  <c r="AC14"/>
  <c r="AP14" i="28"/>
  <c r="Z14" i="26"/>
  <c r="D12"/>
  <c r="E12" i="19"/>
  <c r="D12" i="28"/>
  <c r="C12" i="4"/>
  <c r="Q22" i="28"/>
  <c r="N22" i="26"/>
  <c r="P22" i="19"/>
  <c r="AE6" i="28"/>
  <c r="V6" i="19"/>
  <c r="S4" i="26"/>
  <c r="AF4" i="28"/>
  <c r="U4" i="19"/>
  <c r="AC22"/>
  <c r="AP22" i="28"/>
  <c r="Z22" i="26"/>
  <c r="L10" i="19"/>
  <c r="U10" i="28"/>
  <c r="U5"/>
  <c r="L5" i="19"/>
  <c r="AP13" i="28"/>
  <c r="AC13" i="19"/>
  <c r="Z13" i="26"/>
  <c r="L9" i="19"/>
  <c r="U9" i="28"/>
  <c r="Z19" i="19"/>
  <c r="W19" i="26"/>
  <c r="AA19" i="28"/>
  <c r="X19" i="26"/>
  <c r="AB19" i="28"/>
  <c r="AA19" i="19"/>
  <c r="U10"/>
  <c r="S10" i="26"/>
  <c r="AF10" i="28"/>
  <c r="AK6"/>
  <c r="AH6" i="19"/>
  <c r="AD6" i="26"/>
  <c r="AI6" i="19"/>
  <c r="AE6" i="26"/>
  <c r="AL6" i="28"/>
  <c r="AC15" i="19"/>
  <c r="Z15" i="26"/>
  <c r="AP15" i="28"/>
  <c r="V6"/>
  <c r="K6" i="19"/>
  <c r="J6" i="26"/>
  <c r="AF8" i="28"/>
  <c r="S8" i="26"/>
  <c r="U8" i="19"/>
  <c r="S22" i="26"/>
  <c r="AF22" i="28"/>
  <c r="U22" i="19"/>
  <c r="AP8" i="28"/>
  <c r="AC8" i="19"/>
  <c r="Z8" i="26"/>
  <c r="R16" i="28"/>
  <c r="O16" i="26"/>
  <c r="Q16" i="19"/>
  <c r="X16" i="28"/>
  <c r="W16" i="19"/>
  <c r="T16" i="26"/>
  <c r="K16" i="4"/>
  <c r="AE21" i="19"/>
  <c r="O21" i="4"/>
  <c r="AA21" i="26"/>
  <c r="AH21" i="28"/>
  <c r="N6"/>
  <c r="K6" i="26"/>
  <c r="M6" i="19"/>
  <c r="G6" i="4"/>
  <c r="X11" i="28"/>
  <c r="T11" i="26"/>
  <c r="K11" i="4"/>
  <c r="W11" i="19"/>
  <c r="X17" i="28"/>
  <c r="W17" i="19"/>
  <c r="K17" i="4"/>
  <c r="T17" i="26"/>
  <c r="AH14" i="28"/>
  <c r="AE14" i="19"/>
  <c r="O14" i="4"/>
  <c r="AA14" i="26"/>
  <c r="N19" i="28"/>
  <c r="K19" i="26"/>
  <c r="G19" i="4"/>
  <c r="M19" i="19"/>
  <c r="X6" i="28"/>
  <c r="W6" i="19"/>
  <c r="K6" i="4"/>
  <c r="T6" i="26"/>
  <c r="DO24" i="3"/>
  <c r="CM24"/>
  <c r="CT24"/>
  <c r="AA16" i="26"/>
  <c r="AH16" i="28"/>
  <c r="O16" i="4"/>
  <c r="AE16" i="19"/>
  <c r="AE17"/>
  <c r="AH17" i="28"/>
  <c r="AA17" i="26"/>
  <c r="O17" i="4"/>
  <c r="DF11" i="3"/>
  <c r="DM11"/>
  <c r="DI27"/>
  <c r="DB27"/>
  <c r="DF20"/>
  <c r="DM20"/>
  <c r="DX15"/>
  <c r="DX24"/>
  <c r="DX27"/>
  <c r="DX16"/>
  <c r="DX10"/>
  <c r="DX26"/>
  <c r="DX8"/>
  <c r="DX23"/>
  <c r="DX17"/>
  <c r="DX9"/>
  <c r="DX13"/>
  <c r="DX14"/>
  <c r="DX18"/>
  <c r="DX21"/>
  <c r="DX20"/>
  <c r="DX11"/>
  <c r="DX22"/>
  <c r="DX12"/>
  <c r="DX25"/>
  <c r="DX19"/>
  <c r="DH9"/>
  <c r="DA9"/>
  <c r="W21" i="19"/>
  <c r="T21" i="26"/>
  <c r="X21" i="28"/>
  <c r="K21" i="4"/>
  <c r="DE23" i="3"/>
  <c r="DL23"/>
  <c r="Q7" i="19"/>
  <c r="R7" i="28"/>
  <c r="O7" i="26"/>
  <c r="CT8" i="22"/>
  <c r="K5" i="25"/>
  <c r="DO8" i="22"/>
  <c r="Q5" i="28"/>
  <c r="N5" i="26"/>
  <c r="P5" i="19"/>
  <c r="AI5"/>
  <c r="AE5" i="26"/>
  <c r="AL5" i="28"/>
  <c r="CJ27" i="3"/>
  <c r="BH27"/>
  <c r="C26" i="9"/>
  <c r="CJ18" i="3"/>
  <c r="BH18"/>
  <c r="C17" i="9"/>
  <c r="L12" i="19"/>
  <c r="U12" i="28"/>
  <c r="AP16"/>
  <c r="Z16" i="26"/>
  <c r="AC16" i="19"/>
  <c r="K14"/>
  <c r="J14" i="26"/>
  <c r="V14" i="28"/>
  <c r="U16" i="19"/>
  <c r="S16" i="26"/>
  <c r="AF16" i="28"/>
  <c r="AP6"/>
  <c r="AC6" i="19"/>
  <c r="Z6" i="26"/>
  <c r="V7" i="28"/>
  <c r="K7" i="19"/>
  <c r="J7" i="26"/>
  <c r="AE11" i="28"/>
  <c r="V11" i="19"/>
  <c r="V17"/>
  <c r="AE17" i="28"/>
  <c r="J16" i="26"/>
  <c r="K16" i="19"/>
  <c r="V16" i="28"/>
  <c r="DD22" i="3"/>
  <c r="DK22"/>
  <c r="CM17"/>
  <c r="DO17"/>
  <c r="CT17"/>
  <c r="K18" i="26"/>
  <c r="N18" i="28"/>
  <c r="G18" i="4"/>
  <c r="M18" i="19"/>
  <c r="G22" i="4"/>
  <c r="M22" i="19"/>
  <c r="N22" i="28"/>
  <c r="K22" i="26"/>
  <c r="K20"/>
  <c r="G20" i="4"/>
  <c r="N20" i="28"/>
  <c r="M20" i="19"/>
  <c r="AE9"/>
  <c r="AH9" i="28"/>
  <c r="O9" i="4"/>
  <c r="AA9" i="26"/>
  <c r="CT15" i="22"/>
  <c r="K12" i="25"/>
  <c r="DO15" i="22"/>
  <c r="AE14" i="28"/>
  <c r="V14" i="19"/>
  <c r="AC5"/>
  <c r="AP5" i="28"/>
  <c r="Z5" i="26"/>
  <c r="AP11" i="28"/>
  <c r="Z11" i="26"/>
  <c r="AC11" i="19"/>
  <c r="AI7" i="25"/>
  <c r="AZ46" i="3"/>
  <c r="AN6" i="28"/>
  <c r="W16" i="26"/>
  <c r="Z16" i="19"/>
  <c r="AA16" i="28"/>
  <c r="AL18"/>
  <c r="AE18" i="26"/>
  <c r="AI18" i="19"/>
  <c r="AK18" i="28"/>
  <c r="AH18" i="19"/>
  <c r="AD18" i="26"/>
  <c r="AI21" i="19"/>
  <c r="AE21" i="26"/>
  <c r="AL21" i="28"/>
  <c r="V11"/>
  <c r="J11" i="26"/>
  <c r="K11" i="19"/>
  <c r="L4"/>
  <c r="U4" i="28"/>
  <c r="X22" i="26"/>
  <c r="AA22" i="19"/>
  <c r="AB22" i="28"/>
  <c r="W22" i="26"/>
  <c r="AA22" i="28"/>
  <c r="Z22" i="19"/>
  <c r="AL8" i="28"/>
  <c r="AI8" i="19"/>
  <c r="AE8" i="26"/>
  <c r="AK14" i="28"/>
  <c r="AD14" i="26"/>
  <c r="AH14" i="19"/>
  <c r="AL14" i="28"/>
  <c r="AE14" i="26"/>
  <c r="AI14" i="19"/>
  <c r="DO12" i="3"/>
  <c r="DO21" i="22"/>
  <c r="DO9"/>
  <c r="DO11"/>
  <c r="BD18" i="3"/>
  <c r="BD11"/>
  <c r="DO19" i="22"/>
  <c r="AQ60" i="3"/>
  <c r="I20" i="28"/>
  <c r="CF13" i="3"/>
  <c r="DO23"/>
  <c r="CJ13"/>
  <c r="CJ16"/>
  <c r="CF25"/>
  <c r="CF8"/>
  <c r="CJ22"/>
  <c r="AW48"/>
  <c r="J8" i="28"/>
  <c r="AW62" i="3"/>
  <c r="J22" i="28"/>
  <c r="AQ61" i="3"/>
  <c r="I21" i="28"/>
  <c r="BD21" i="3"/>
  <c r="AW57"/>
  <c r="J17" i="28"/>
  <c r="BH12" i="3"/>
  <c r="C11" i="9"/>
  <c r="BH19" i="3"/>
  <c r="C18" i="9"/>
  <c r="DZ12" i="22"/>
  <c r="DZ16"/>
  <c r="DZ8"/>
  <c r="DZ9"/>
  <c r="DZ14"/>
  <c r="DZ17"/>
  <c r="DZ20"/>
  <c r="DZ19"/>
  <c r="BD17" i="3"/>
  <c r="AQ47"/>
  <c r="I7" i="28"/>
  <c r="BD15" i="3"/>
  <c r="BD24"/>
  <c r="DY14"/>
  <c r="DY27"/>
  <c r="DY22"/>
  <c r="DY20"/>
  <c r="DY13"/>
  <c r="DY26"/>
  <c r="DY15"/>
  <c r="DY10"/>
  <c r="DY9"/>
  <c r="DY18"/>
  <c r="AH23" i="28"/>
  <c r="AE23" i="19"/>
  <c r="O23" i="4"/>
  <c r="AA23" i="26"/>
  <c r="DO11" i="3"/>
  <c r="CT11"/>
  <c r="CM11"/>
  <c r="AB16" i="25"/>
  <c r="AS58" i="3"/>
  <c r="AC18" i="28"/>
  <c r="AE12" i="19"/>
  <c r="AA12" i="26"/>
  <c r="O12" i="4"/>
  <c r="AH12" i="28"/>
  <c r="N12"/>
  <c r="M12" i="19"/>
  <c r="K12" i="26"/>
  <c r="G12" i="4"/>
  <c r="N5" i="28"/>
  <c r="G5" i="4"/>
  <c r="K5" i="26"/>
  <c r="M5" i="19"/>
  <c r="DD14" i="3"/>
  <c r="FO8"/>
  <c r="AD5" i="21"/>
  <c r="DK14" i="3"/>
  <c r="DC24"/>
  <c r="DJ24"/>
  <c r="DJ17"/>
  <c r="DC17"/>
  <c r="DF17"/>
  <c r="DM17"/>
  <c r="H5" i="26"/>
  <c r="I5" i="19"/>
  <c r="H5" i="28"/>
  <c r="X8"/>
  <c r="K8" i="4"/>
  <c r="W8" i="19"/>
  <c r="T8" i="26"/>
  <c r="AE20" i="19"/>
  <c r="AH20" i="28"/>
  <c r="AA20" i="26"/>
  <c r="O20" i="4"/>
  <c r="DE17" i="3"/>
  <c r="DL17"/>
  <c r="DZ16"/>
  <c r="DZ14"/>
  <c r="DZ20"/>
  <c r="DZ9"/>
  <c r="DZ21"/>
  <c r="DZ10"/>
  <c r="DZ18"/>
  <c r="DZ8"/>
  <c r="DZ17"/>
  <c r="DZ15"/>
  <c r="DZ19"/>
  <c r="DZ13"/>
  <c r="DZ22"/>
  <c r="DZ27"/>
  <c r="DZ26"/>
  <c r="DZ24"/>
  <c r="DZ11"/>
  <c r="DZ12"/>
  <c r="DZ25"/>
  <c r="DZ23"/>
  <c r="W4" i="19"/>
  <c r="K4" i="4"/>
  <c r="X4" i="28"/>
  <c r="T4" i="26"/>
  <c r="DA10" i="3"/>
  <c r="DH10"/>
  <c r="DH21"/>
  <c r="DA21"/>
  <c r="DE19"/>
  <c r="DL19"/>
  <c r="DL11"/>
  <c r="DE11"/>
  <c r="DI12"/>
  <c r="DB12"/>
  <c r="DX17" i="22"/>
  <c r="DX21"/>
  <c r="DX18"/>
  <c r="DX8"/>
  <c r="DX20"/>
  <c r="DX13"/>
  <c r="DX15"/>
  <c r="DX10"/>
  <c r="DX12"/>
  <c r="DX22"/>
  <c r="DX16"/>
  <c r="DX9"/>
  <c r="DX19"/>
  <c r="DX11"/>
  <c r="DX14"/>
  <c r="EA22"/>
  <c r="EA12"/>
  <c r="EA13"/>
  <c r="EA15"/>
  <c r="EA8"/>
  <c r="EA16"/>
  <c r="EA11"/>
  <c r="EA20"/>
  <c r="EA14"/>
  <c r="EA21"/>
  <c r="EA18"/>
  <c r="EA10"/>
  <c r="EA9"/>
  <c r="EA17"/>
  <c r="EA19"/>
  <c r="CT22"/>
  <c r="K19" i="25"/>
  <c r="DO22" i="22"/>
  <c r="CM26" i="3"/>
  <c r="DO26"/>
  <c r="CT26"/>
  <c r="CT18" i="22"/>
  <c r="K15" i="25"/>
  <c r="DO18" i="22"/>
  <c r="D4" i="28"/>
  <c r="E4" i="19"/>
  <c r="D4" i="26"/>
  <c r="C4" i="4"/>
  <c r="DO8" i="3"/>
  <c r="CT8"/>
  <c r="CM8"/>
  <c r="AH16" i="19"/>
  <c r="AK16" i="28"/>
  <c r="AD16" i="26"/>
  <c r="AF12" i="28"/>
  <c r="U12" i="19"/>
  <c r="S12" i="26"/>
  <c r="V19" i="19"/>
  <c r="AE19" i="28"/>
  <c r="X10" i="26"/>
  <c r="AA10" i="19"/>
  <c r="AB10" i="28"/>
  <c r="AO21"/>
  <c r="AD21" i="19"/>
  <c r="P6"/>
  <c r="Q6" i="28"/>
  <c r="N6" i="26"/>
  <c r="Z11" i="19"/>
  <c r="W11" i="26"/>
  <c r="AA11" i="28"/>
  <c r="X11" i="26"/>
  <c r="AA11" i="19"/>
  <c r="AB11" i="28"/>
  <c r="AD14" i="19"/>
  <c r="AO14" i="28"/>
  <c r="DF23" i="3"/>
  <c r="DM23"/>
  <c r="C9" i="4"/>
  <c r="E9" i="19"/>
  <c r="D9" i="26"/>
  <c r="D9" i="28"/>
  <c r="DO13" i="3"/>
  <c r="CM13"/>
  <c r="CT13"/>
  <c r="DY8" i="22"/>
  <c r="DY13"/>
  <c r="DY17"/>
  <c r="DY20"/>
  <c r="DY16"/>
  <c r="DY14"/>
  <c r="DY18"/>
  <c r="DY10"/>
  <c r="DY12"/>
  <c r="DY21"/>
  <c r="DY19"/>
  <c r="DY15"/>
  <c r="DY9"/>
  <c r="DY11"/>
  <c r="DY22"/>
  <c r="O22" i="26"/>
  <c r="R22" i="28"/>
  <c r="Q22" i="19"/>
  <c r="S6" i="26"/>
  <c r="U6" i="19"/>
  <c r="AF6" i="28"/>
  <c r="V4" i="19"/>
  <c r="AE4" i="28"/>
  <c r="AO22"/>
  <c r="AD22" i="19"/>
  <c r="K10"/>
  <c r="J10" i="26"/>
  <c r="V10" i="28"/>
  <c r="K5" i="19"/>
  <c r="V5" i="28"/>
  <c r="J5" i="26"/>
  <c r="AO13" i="28"/>
  <c r="AD13" i="19"/>
  <c r="K9"/>
  <c r="J9" i="26"/>
  <c r="V9" i="28"/>
  <c r="AE10"/>
  <c r="V10" i="19"/>
  <c r="AD15"/>
  <c r="AO15" i="28"/>
  <c r="U6"/>
  <c r="L6" i="19"/>
  <c r="AE8" i="28"/>
  <c r="V8" i="19"/>
  <c r="AE22" i="28"/>
  <c r="V22" i="19"/>
  <c r="AD8"/>
  <c r="AO8" i="28"/>
  <c r="N16" i="26"/>
  <c r="P16" i="19"/>
  <c r="Q16" i="28"/>
  <c r="AH6"/>
  <c r="AE6" i="19"/>
  <c r="AA6" i="26"/>
  <c r="O6" i="4"/>
  <c r="EA13" i="3"/>
  <c r="EA21"/>
  <c r="EA26"/>
  <c r="EA17"/>
  <c r="EA10"/>
  <c r="EA8"/>
  <c r="EA22"/>
  <c r="EA18"/>
  <c r="EA9"/>
  <c r="EA24"/>
  <c r="EA25"/>
  <c r="EA16"/>
  <c r="EA20"/>
  <c r="EA19"/>
  <c r="EA14"/>
  <c r="EA12"/>
  <c r="EA11"/>
  <c r="EA23"/>
  <c r="EA27"/>
  <c r="EA15"/>
  <c r="AE8" i="19"/>
  <c r="AA8" i="26"/>
  <c r="O8" i="4"/>
  <c r="AH8" i="28"/>
  <c r="K12" i="4"/>
  <c r="T12" i="26"/>
  <c r="W12" i="19"/>
  <c r="X12" i="28"/>
  <c r="DH15" i="3"/>
  <c r="DA15"/>
  <c r="DH24"/>
  <c r="DA24"/>
  <c r="W14" i="19"/>
  <c r="K14" i="4"/>
  <c r="X14" i="28"/>
  <c r="T14" i="26"/>
  <c r="AA5"/>
  <c r="AH5" i="28"/>
  <c r="O5" i="4"/>
  <c r="AE5" i="19"/>
  <c r="M14"/>
  <c r="G14" i="4"/>
  <c r="K14" i="26"/>
  <c r="N14" i="28"/>
  <c r="DF19" i="3"/>
  <c r="DM19"/>
  <c r="DD11"/>
  <c r="DK11"/>
  <c r="DM27"/>
  <c r="DF27"/>
  <c r="DH12"/>
  <c r="DA12"/>
  <c r="DA14"/>
  <c r="DH14"/>
  <c r="AA10" i="26"/>
  <c r="O10" i="4"/>
  <c r="AE10" i="19"/>
  <c r="AH10" i="28"/>
  <c r="DA20" i="3"/>
  <c r="DH20"/>
  <c r="P7" i="19"/>
  <c r="Q7" i="28"/>
  <c r="N7" i="26"/>
  <c r="CJ15" i="3"/>
  <c r="BH15"/>
  <c r="C14" i="9"/>
  <c r="CJ14" i="3"/>
  <c r="BH14"/>
  <c r="C13" i="9"/>
  <c r="CT14" i="22"/>
  <c r="K11" i="25"/>
  <c r="DO14" i="22"/>
  <c r="Q5" i="19"/>
  <c r="O5" i="26"/>
  <c r="R5" i="28"/>
  <c r="DO20" i="3"/>
  <c r="CT20"/>
  <c r="CM20"/>
  <c r="AK5" i="28"/>
  <c r="AH5" i="19"/>
  <c r="AD5" i="26"/>
  <c r="FP10" i="22"/>
  <c r="EN10"/>
  <c r="FI10"/>
  <c r="FB10"/>
  <c r="FW10"/>
  <c r="EU10"/>
  <c r="EG10"/>
  <c r="K12" i="19"/>
  <c r="J12" i="26"/>
  <c r="V12" i="28"/>
  <c r="AO16"/>
  <c r="AD16" i="19"/>
  <c r="U14" i="28"/>
  <c r="L14" i="19"/>
  <c r="V16"/>
  <c r="AE16" i="28"/>
  <c r="AD6" i="19"/>
  <c r="AO6" i="28"/>
  <c r="L7" i="19"/>
  <c r="U7" i="28"/>
  <c r="AF11"/>
  <c r="U11" i="19"/>
  <c r="S11" i="26"/>
  <c r="U17" i="19"/>
  <c r="S17" i="26"/>
  <c r="AF17" i="28"/>
  <c r="U16"/>
  <c r="L16" i="19"/>
  <c r="O18" i="4"/>
  <c r="AE18" i="19"/>
  <c r="AA18" i="26"/>
  <c r="AH18" i="28"/>
  <c r="G5"/>
  <c r="H5" i="19"/>
  <c r="G5" i="26"/>
  <c r="DB22" i="3"/>
  <c r="DI22"/>
  <c r="DI26"/>
  <c r="DB26"/>
  <c r="DB24"/>
  <c r="DI24"/>
  <c r="DK13"/>
  <c r="DD13"/>
  <c r="AF14" i="28"/>
  <c r="S14" i="26"/>
  <c r="U14" i="19"/>
  <c r="AD5"/>
  <c r="AO5" i="28"/>
  <c r="AO11"/>
  <c r="AD11" i="19"/>
  <c r="AL7" i="25"/>
  <c r="AT46" i="3"/>
  <c r="AM6" i="28"/>
  <c r="AB16"/>
  <c r="X16" i="26"/>
  <c r="AA16" i="19"/>
  <c r="AD21" i="26"/>
  <c r="AK21" i="28"/>
  <c r="AH21" i="19"/>
  <c r="L11"/>
  <c r="U11" i="28"/>
  <c r="V4"/>
  <c r="K4" i="19"/>
  <c r="J4" i="26"/>
  <c r="AD8"/>
  <c r="AH8" i="19"/>
  <c r="AK8" i="28"/>
  <c r="FV12" i="3"/>
  <c r="AC9" i="21"/>
  <c r="ET12" i="3"/>
  <c r="FH12"/>
  <c r="AI9" i="21"/>
  <c r="FA12" i="3"/>
  <c r="AH9" i="21"/>
  <c r="FO12" i="3"/>
  <c r="AD9" i="21"/>
  <c r="EM12" i="3"/>
  <c r="AG9" i="21"/>
  <c r="EF12" i="3"/>
  <c r="AF9" i="21"/>
  <c r="DO14" i="3"/>
  <c r="DO25"/>
  <c r="CT20" i="22"/>
  <c r="K17" i="25"/>
  <c r="CT12" i="22"/>
  <c r="K9" i="25"/>
  <c r="CM16" i="22"/>
  <c r="J13" i="25"/>
  <c r="CT21" i="22"/>
  <c r="K18" i="25"/>
  <c r="BD26" i="3"/>
  <c r="BH26"/>
  <c r="C25" i="9"/>
  <c r="CM9" i="22"/>
  <c r="J6" i="25"/>
  <c r="CM11" i="22"/>
  <c r="J8" i="25"/>
  <c r="CM18" i="22"/>
  <c r="J15" i="25"/>
  <c r="AW46" i="3"/>
  <c r="J6" i="28"/>
  <c r="BH11" i="3"/>
  <c r="C10" i="9"/>
  <c r="BH21" i="3"/>
  <c r="C20" i="9"/>
  <c r="CT19" i="22"/>
  <c r="K16" i="25"/>
  <c r="AW60" i="3"/>
  <c r="J20" i="28"/>
  <c r="BD23" i="3"/>
  <c r="CF11"/>
  <c r="CF16"/>
  <c r="DO21"/>
  <c r="CJ21"/>
  <c r="DO13" i="22"/>
  <c r="BD12" i="3"/>
  <c r="AQ48"/>
  <c r="I8" i="28"/>
  <c r="BD9" i="3"/>
  <c r="AQ62"/>
  <c r="I22" i="28"/>
  <c r="BD14" i="3"/>
  <c r="BD27"/>
  <c r="BH17"/>
  <c r="C16" i="9"/>
  <c r="DO17" i="22"/>
  <c r="CT17"/>
  <c r="K14" i="25"/>
  <c r="CM8" i="22"/>
  <c r="J5" i="25"/>
  <c r="AW61" i="3"/>
  <c r="J21" i="28"/>
  <c r="BD20" i="3"/>
  <c r="AQ57"/>
  <c r="I17" i="28"/>
  <c r="BH24" i="3"/>
  <c r="C23" i="9"/>
  <c r="BH23" i="3"/>
  <c r="C22" i="9"/>
  <c r="DZ13" i="22"/>
  <c r="DZ11"/>
  <c r="DZ21"/>
  <c r="DZ15"/>
  <c r="DZ22"/>
  <c r="AW47" i="3"/>
  <c r="J7" i="28"/>
  <c r="AQ52" i="3"/>
  <c r="I12" i="28"/>
  <c r="CM15" i="22"/>
  <c r="J12" i="25"/>
  <c r="AQ51" i="3"/>
  <c r="I11" i="28"/>
  <c r="DY16" i="3"/>
  <c r="DY17"/>
  <c r="DY25"/>
  <c r="DY21"/>
  <c r="DY24"/>
  <c r="DY11"/>
  <c r="DY23"/>
  <c r="DY19"/>
  <c r="EM23"/>
  <c r="FH23"/>
  <c r="EF23"/>
  <c r="FV23"/>
  <c r="FO23"/>
  <c r="FA23"/>
  <c r="ET23"/>
  <c r="ET24"/>
  <c r="EF24"/>
  <c r="EM24"/>
  <c r="FH24"/>
  <c r="FA24"/>
  <c r="FO24"/>
  <c r="FV24"/>
  <c r="EF25"/>
  <c r="FH25"/>
  <c r="FV25"/>
  <c r="EM25"/>
  <c r="FA25"/>
  <c r="ET25"/>
  <c r="FO25"/>
  <c r="FV16"/>
  <c r="AC13" i="21"/>
  <c r="ET16" i="3"/>
  <c r="FO16"/>
  <c r="AD13" i="21"/>
  <c r="FA16" i="3"/>
  <c r="AH13" i="21"/>
  <c r="EM16" i="3"/>
  <c r="AG13" i="21"/>
  <c r="EF16" i="3"/>
  <c r="AF13" i="21"/>
  <c r="FH16" i="3"/>
  <c r="AI13" i="21"/>
  <c r="EG15" i="22"/>
  <c r="FB15"/>
  <c r="EN15"/>
  <c r="FW15"/>
  <c r="EU15"/>
  <c r="FP15"/>
  <c r="FI15"/>
  <c r="FB11"/>
  <c r="FW11"/>
  <c r="EU11"/>
  <c r="EN11"/>
  <c r="FP11"/>
  <c r="EG11"/>
  <c r="FI11"/>
  <c r="C14" i="25"/>
  <c r="AW53" i="3"/>
  <c r="J13" i="28"/>
  <c r="E23" i="19"/>
  <c r="D23" i="26"/>
  <c r="D23" i="28"/>
  <c r="C23" i="4"/>
  <c r="DA11" i="3"/>
  <c r="DH11"/>
  <c r="AD9" i="19"/>
  <c r="AO9" i="28"/>
  <c r="J20" i="26"/>
  <c r="V20" i="28"/>
  <c r="K20" i="19"/>
  <c r="U22" i="28"/>
  <c r="L22" i="19"/>
  <c r="K18"/>
  <c r="V18" i="28"/>
  <c r="J18" i="26"/>
  <c r="H16" i="19"/>
  <c r="G16" i="26"/>
  <c r="G16" i="28"/>
  <c r="D16" i="19"/>
  <c r="K16" i="28"/>
  <c r="D10" i="19"/>
  <c r="K10" i="28"/>
  <c r="L8"/>
  <c r="C8" i="19"/>
  <c r="C8" i="26"/>
  <c r="AD7" i="19"/>
  <c r="AO7" i="28"/>
  <c r="C20" i="26"/>
  <c r="L20" i="28"/>
  <c r="C20" i="19"/>
  <c r="C11" i="26"/>
  <c r="C11" i="19"/>
  <c r="L11" i="28"/>
  <c r="FX27" i="3"/>
  <c r="FQ27"/>
  <c r="EV27"/>
  <c r="FJ27"/>
  <c r="EH27"/>
  <c r="EO27"/>
  <c r="FQ11"/>
  <c r="FX11"/>
  <c r="EH11"/>
  <c r="EO11"/>
  <c r="EV11"/>
  <c r="FJ11"/>
  <c r="EV14"/>
  <c r="EO14"/>
  <c r="FX14"/>
  <c r="FJ14"/>
  <c r="FQ14"/>
  <c r="EH14"/>
  <c r="EH20"/>
  <c r="EV20"/>
  <c r="FJ20"/>
  <c r="FX20"/>
  <c r="EO20"/>
  <c r="FQ20"/>
  <c r="FX25"/>
  <c r="FJ25"/>
  <c r="EH25"/>
  <c r="FQ25"/>
  <c r="EV25"/>
  <c r="EO25"/>
  <c r="FJ9"/>
  <c r="EV9"/>
  <c r="EH9"/>
  <c r="EO9"/>
  <c r="FX9"/>
  <c r="FQ9"/>
  <c r="EO22"/>
  <c r="EV22"/>
  <c r="FX22"/>
  <c r="EH22"/>
  <c r="FJ22"/>
  <c r="FQ22"/>
  <c r="FJ10"/>
  <c r="EV10"/>
  <c r="FX10"/>
  <c r="EH10"/>
  <c r="FQ10"/>
  <c r="EO10"/>
  <c r="FQ26"/>
  <c r="EO26"/>
  <c r="EH26"/>
  <c r="FJ26"/>
  <c r="EV26"/>
  <c r="FX26"/>
  <c r="EO13"/>
  <c r="FJ13"/>
  <c r="FX13"/>
  <c r="EV13"/>
  <c r="FQ13"/>
  <c r="EH13"/>
  <c r="FH11" i="22"/>
  <c r="FV11"/>
  <c r="FO11"/>
  <c r="FA11"/>
  <c r="ET11"/>
  <c r="EM11"/>
  <c r="EF11"/>
  <c r="EF15"/>
  <c r="FV15"/>
  <c r="ET15"/>
  <c r="FO15"/>
  <c r="FA15"/>
  <c r="FH15"/>
  <c r="EM15"/>
  <c r="FV21"/>
  <c r="EF21"/>
  <c r="FH21"/>
  <c r="FA21"/>
  <c r="FO21"/>
  <c r="EM21"/>
  <c r="ET21"/>
  <c r="FO10"/>
  <c r="EM10"/>
  <c r="ET10"/>
  <c r="FV10"/>
  <c r="FH10"/>
  <c r="EF10"/>
  <c r="FA10"/>
  <c r="FO14"/>
  <c r="FH14"/>
  <c r="EM14"/>
  <c r="FV14"/>
  <c r="ET14"/>
  <c r="FA14"/>
  <c r="EF14"/>
  <c r="FA20"/>
  <c r="EF20"/>
  <c r="FH20"/>
  <c r="FO20"/>
  <c r="ET20"/>
  <c r="FV20"/>
  <c r="EM20"/>
  <c r="FA13"/>
  <c r="ET13"/>
  <c r="EM13"/>
  <c r="FO13"/>
  <c r="EF13"/>
  <c r="FH13"/>
  <c r="FV13"/>
  <c r="H9" i="26"/>
  <c r="I9" i="19"/>
  <c r="H9" i="28"/>
  <c r="H4"/>
  <c r="I4" i="19"/>
  <c r="H4" i="26"/>
  <c r="I22" i="19"/>
  <c r="H22" i="26"/>
  <c r="H22" i="28"/>
  <c r="G22" i="26"/>
  <c r="G22" i="28"/>
  <c r="H22" i="19"/>
  <c r="FX17" i="22"/>
  <c r="EO17"/>
  <c r="EH17"/>
  <c r="EV17"/>
  <c r="FQ17"/>
  <c r="FJ17"/>
  <c r="EO10"/>
  <c r="FQ10"/>
  <c r="FX10"/>
  <c r="FJ10"/>
  <c r="EV10"/>
  <c r="EH10"/>
  <c r="FJ21"/>
  <c r="EO21"/>
  <c r="EV21"/>
  <c r="EH21"/>
  <c r="FX21"/>
  <c r="FQ21"/>
  <c r="EO20"/>
  <c r="FJ20"/>
  <c r="EV20"/>
  <c r="FQ20"/>
  <c r="FX20"/>
  <c r="EH20"/>
  <c r="FQ16"/>
  <c r="FX16"/>
  <c r="EV16"/>
  <c r="EO16"/>
  <c r="FJ16"/>
  <c r="EH16"/>
  <c r="FX15"/>
  <c r="EV15"/>
  <c r="FQ15"/>
  <c r="EH15"/>
  <c r="EO15"/>
  <c r="FJ15"/>
  <c r="EO12"/>
  <c r="EV12"/>
  <c r="FX12"/>
  <c r="EH12"/>
  <c r="FQ12"/>
  <c r="FJ12"/>
  <c r="FU14"/>
  <c r="EL14"/>
  <c r="EZ14"/>
  <c r="FG14"/>
  <c r="EE14"/>
  <c r="ES14"/>
  <c r="FN14"/>
  <c r="EZ19"/>
  <c r="FN19"/>
  <c r="ES19"/>
  <c r="EE19"/>
  <c r="EL19"/>
  <c r="FG19"/>
  <c r="FU19"/>
  <c r="EL16"/>
  <c r="EE16"/>
  <c r="FN16"/>
  <c r="FU16"/>
  <c r="FG16"/>
  <c r="ES16"/>
  <c r="EZ16"/>
  <c r="EZ12"/>
  <c r="EE12"/>
  <c r="FN12"/>
  <c r="FG12"/>
  <c r="EL12"/>
  <c r="FU12"/>
  <c r="ES12"/>
  <c r="EL15"/>
  <c r="EE15"/>
  <c r="FG15"/>
  <c r="EZ15"/>
  <c r="FN15"/>
  <c r="ES15"/>
  <c r="FU15"/>
  <c r="EZ20"/>
  <c r="FG20"/>
  <c r="FN20"/>
  <c r="FU20"/>
  <c r="EL20"/>
  <c r="EE20"/>
  <c r="ES20"/>
  <c r="FU18"/>
  <c r="FN18"/>
  <c r="ES18"/>
  <c r="FG18"/>
  <c r="EZ18"/>
  <c r="EE18"/>
  <c r="EL18"/>
  <c r="FU17"/>
  <c r="EZ17"/>
  <c r="ES17"/>
  <c r="EL17"/>
  <c r="FN17"/>
  <c r="FG17"/>
  <c r="EE17"/>
  <c r="J8" i="26"/>
  <c r="V8" i="28"/>
  <c r="K8" i="19"/>
  <c r="C17" i="26"/>
  <c r="C17" i="19"/>
  <c r="L17" i="28"/>
  <c r="K6"/>
  <c r="D6" i="19"/>
  <c r="EG25" i="3"/>
  <c r="EN25"/>
  <c r="FW25"/>
  <c r="EU25"/>
  <c r="FB25"/>
  <c r="FP25"/>
  <c r="FI25"/>
  <c r="FB11"/>
  <c r="EG11"/>
  <c r="FI11"/>
  <c r="EN11"/>
  <c r="EU11"/>
  <c r="FP26"/>
  <c r="FW26"/>
  <c r="EN26"/>
  <c r="EG26"/>
  <c r="EU26"/>
  <c r="FB26"/>
  <c r="FI26"/>
  <c r="EG22"/>
  <c r="EU22"/>
  <c r="EN22"/>
  <c r="FB22"/>
  <c r="FI22"/>
  <c r="EN19"/>
  <c r="EG19"/>
  <c r="FI19"/>
  <c r="FP19"/>
  <c r="EU19"/>
  <c r="FW19"/>
  <c r="FB19"/>
  <c r="EU17"/>
  <c r="EG17"/>
  <c r="FB17"/>
  <c r="EN17"/>
  <c r="FP17"/>
  <c r="FW17"/>
  <c r="FI17"/>
  <c r="FB18"/>
  <c r="EG18"/>
  <c r="EU18"/>
  <c r="FI18"/>
  <c r="EN18"/>
  <c r="EN21"/>
  <c r="FI21"/>
  <c r="EG21"/>
  <c r="EU21"/>
  <c r="FB21"/>
  <c r="FB20"/>
  <c r="EG20"/>
  <c r="EN20"/>
  <c r="EU20"/>
  <c r="FI20"/>
  <c r="EG16"/>
  <c r="EN16"/>
  <c r="FB16"/>
  <c r="EU16"/>
  <c r="FI16"/>
  <c r="FW16"/>
  <c r="FP16"/>
  <c r="V13" i="19"/>
  <c r="AE13" i="28"/>
  <c r="S20" i="26"/>
  <c r="AF20" i="28"/>
  <c r="U20" i="19"/>
  <c r="AP10" i="28"/>
  <c r="AC10" i="19"/>
  <c r="Z10" i="26"/>
  <c r="G7"/>
  <c r="G7" i="28"/>
  <c r="H7" i="19"/>
  <c r="EF9" i="3"/>
  <c r="AF6" i="21"/>
  <c r="FO9" i="3"/>
  <c r="AD6" i="21"/>
  <c r="ET9" i="3"/>
  <c r="FA9"/>
  <c r="AH6" i="21"/>
  <c r="FV9" i="3"/>
  <c r="AC6" i="21"/>
  <c r="FH9" i="3"/>
  <c r="AI6" i="21"/>
  <c r="EM9" i="3"/>
  <c r="AG6" i="21"/>
  <c r="EF15" i="3"/>
  <c r="AF12" i="21"/>
  <c r="FO15" i="3"/>
  <c r="AD12" i="21"/>
  <c r="FH15" i="3"/>
  <c r="AI12" i="21"/>
  <c r="FV15" i="3"/>
  <c r="AC12" i="21"/>
  <c r="FA15" i="3"/>
  <c r="AH12" i="21"/>
  <c r="EM15" i="3"/>
  <c r="AG12" i="21"/>
  <c r="ET15" i="3"/>
  <c r="FH13"/>
  <c r="AI10" i="21"/>
  <c r="FO13" i="3"/>
  <c r="AD10" i="21"/>
  <c r="EM13" i="3"/>
  <c r="AG10" i="21"/>
  <c r="FA13" i="3"/>
  <c r="AH10" i="21"/>
  <c r="FV13" i="3"/>
  <c r="AC10" i="21"/>
  <c r="EF13" i="3"/>
  <c r="AF10" i="21"/>
  <c r="ET13" i="3"/>
  <c r="EM22"/>
  <c r="AG19" i="21"/>
  <c r="EF22" i="3"/>
  <c r="AF19" i="21"/>
  <c r="FO22" i="3"/>
  <c r="AD19" i="21"/>
  <c r="FA22" i="3"/>
  <c r="AH19" i="21"/>
  <c r="FV22" i="3"/>
  <c r="AC19" i="21"/>
  <c r="FH22" i="3"/>
  <c r="AI19" i="21"/>
  <c r="ET22" i="3"/>
  <c r="FA14"/>
  <c r="AH11" i="21"/>
  <c r="EM14" i="3"/>
  <c r="AG11" i="21"/>
  <c r="EF14" i="3"/>
  <c r="AF11" i="21"/>
  <c r="FH14" i="3"/>
  <c r="AI11" i="21"/>
  <c r="FO14" i="3"/>
  <c r="AD11" i="21"/>
  <c r="FV14" i="3"/>
  <c r="AC11" i="21"/>
  <c r="ET14" i="3"/>
  <c r="E11" i="19"/>
  <c r="D11" i="26"/>
  <c r="D11" i="28"/>
  <c r="C11" i="4"/>
  <c r="D13" i="28"/>
  <c r="D13" i="26"/>
  <c r="C13" i="4"/>
  <c r="E13" i="19"/>
  <c r="EU20" i="22"/>
  <c r="EN20"/>
  <c r="FW20"/>
  <c r="FI20"/>
  <c r="FB20"/>
  <c r="FP20"/>
  <c r="EG20"/>
  <c r="FW14"/>
  <c r="EG14"/>
  <c r="FI14"/>
  <c r="EN14"/>
  <c r="FB14"/>
  <c r="EU14"/>
  <c r="FP14"/>
  <c r="FW8"/>
  <c r="EN8"/>
  <c r="FP8"/>
  <c r="FB8"/>
  <c r="EG8"/>
  <c r="FI8"/>
  <c r="EU8"/>
  <c r="FW12"/>
  <c r="EU12"/>
  <c r="FP12"/>
  <c r="FI12"/>
  <c r="EN12"/>
  <c r="EG12"/>
  <c r="FB12"/>
  <c r="E17" i="19"/>
  <c r="D17" i="26"/>
  <c r="D17" i="28"/>
  <c r="C17" i="4"/>
  <c r="D14" i="28"/>
  <c r="D14" i="26"/>
  <c r="C14" i="4"/>
  <c r="E14" i="19"/>
  <c r="I13"/>
  <c r="H13" i="28"/>
  <c r="H13" i="26"/>
  <c r="G13" i="28"/>
  <c r="G13" i="26"/>
  <c r="H13" i="19"/>
  <c r="AD18"/>
  <c r="AO18" i="28"/>
  <c r="DE27" i="3"/>
  <c r="FP11"/>
  <c r="DL27"/>
  <c r="FW11"/>
  <c r="K5" i="28"/>
  <c r="D5" i="19"/>
  <c r="FG19" i="3"/>
  <c r="AA16" i="21"/>
  <c r="EL19" i="3"/>
  <c r="Y16" i="21"/>
  <c r="FN19" i="3"/>
  <c r="V16" i="21"/>
  <c r="FU19" i="3"/>
  <c r="U16" i="21"/>
  <c r="EE19" i="3"/>
  <c r="X16" i="21"/>
  <c r="EZ19" i="3"/>
  <c r="Z16" i="21"/>
  <c r="ES19" i="3"/>
  <c r="FU12"/>
  <c r="U9" i="21"/>
  <c r="EE12" i="3"/>
  <c r="X9" i="21"/>
  <c r="EZ12" i="3"/>
  <c r="Z9" i="21"/>
  <c r="FG12" i="3"/>
  <c r="AA9" i="21"/>
  <c r="EL12" i="3"/>
  <c r="Y9" i="21"/>
  <c r="FN12" i="3"/>
  <c r="V9" i="21"/>
  <c r="ES12" i="3"/>
  <c r="FN11"/>
  <c r="V8" i="21"/>
  <c r="FG11" i="3"/>
  <c r="AA8" i="21"/>
  <c r="EE11" i="3"/>
  <c r="X8" i="21"/>
  <c r="EZ11" i="3"/>
  <c r="Z8" i="21"/>
  <c r="EL11" i="3"/>
  <c r="Y8" i="21"/>
  <c r="FU11" i="3"/>
  <c r="U8" i="21"/>
  <c r="ES11" i="3"/>
  <c r="EE21"/>
  <c r="X18" i="21"/>
  <c r="FG21" i="3"/>
  <c r="AA18" i="21"/>
  <c r="EZ21" i="3"/>
  <c r="Z18" i="21"/>
  <c r="ES21" i="3"/>
  <c r="EL21"/>
  <c r="Y18" i="21"/>
  <c r="FU21" i="3"/>
  <c r="U18" i="21"/>
  <c r="FN21" i="3"/>
  <c r="V18" i="21"/>
  <c r="EE14" i="3"/>
  <c r="X11" i="21"/>
  <c r="FN14" i="3"/>
  <c r="V11" i="21"/>
  <c r="FU14" i="3"/>
  <c r="U11" i="21"/>
  <c r="ES14" i="3"/>
  <c r="EL14"/>
  <c r="Y11" i="21"/>
  <c r="EZ14" i="3"/>
  <c r="Z11" i="21"/>
  <c r="FG14" i="3"/>
  <c r="AA11" i="21"/>
  <c r="FG9" i="3"/>
  <c r="AA6" i="21"/>
  <c r="EE9" i="3"/>
  <c r="X6" i="21"/>
  <c r="EL9" i="3"/>
  <c r="Y6" i="21"/>
  <c r="FN9" i="3"/>
  <c r="V6" i="21"/>
  <c r="ES9" i="3"/>
  <c r="FU9"/>
  <c r="U6" i="21"/>
  <c r="EZ9" i="3"/>
  <c r="Z6" i="21"/>
  <c r="EE23" i="3"/>
  <c r="FU23"/>
  <c r="EZ23"/>
  <c r="ES23"/>
  <c r="EL23"/>
  <c r="FG23"/>
  <c r="FN23"/>
  <c r="EZ26"/>
  <c r="EL26"/>
  <c r="FN26"/>
  <c r="EE26"/>
  <c r="FU26"/>
  <c r="ES26"/>
  <c r="FG26"/>
  <c r="EZ16"/>
  <c r="Z13" i="21"/>
  <c r="EE16" i="3"/>
  <c r="X13" i="21"/>
  <c r="EL16" i="3"/>
  <c r="Y13" i="21"/>
  <c r="ES16" i="3"/>
  <c r="FU16"/>
  <c r="U13" i="21"/>
  <c r="FN16" i="3"/>
  <c r="V13" i="21"/>
  <c r="FG16" i="3"/>
  <c r="AA13" i="21"/>
  <c r="EZ24" i="3"/>
  <c r="EE24"/>
  <c r="EL24"/>
  <c r="FG24"/>
  <c r="FN24"/>
  <c r="FU24"/>
  <c r="ES24"/>
  <c r="U23" i="28"/>
  <c r="L23" i="19"/>
  <c r="I20"/>
  <c r="H20" i="26"/>
  <c r="H20" i="28"/>
  <c r="H6" i="19"/>
  <c r="G6" i="26"/>
  <c r="G6" i="28"/>
  <c r="DL8" i="3"/>
  <c r="DE8"/>
  <c r="DL10"/>
  <c r="FW20"/>
  <c r="DE10"/>
  <c r="FP20"/>
  <c r="DE9"/>
  <c r="FP22"/>
  <c r="DL9"/>
  <c r="FW22"/>
  <c r="AF15" i="28"/>
  <c r="S15" i="26"/>
  <c r="U15" i="19"/>
  <c r="EY22" i="22"/>
  <c r="ER22"/>
  <c r="FM22"/>
  <c r="EK22"/>
  <c r="ED22"/>
  <c r="FT22"/>
  <c r="FF22"/>
  <c r="ER11"/>
  <c r="FM11"/>
  <c r="EY11"/>
  <c r="FT11"/>
  <c r="ED11"/>
  <c r="EK11"/>
  <c r="FF11"/>
  <c r="ER15"/>
  <c r="ED15"/>
  <c r="EY15"/>
  <c r="EK15"/>
  <c r="FT15"/>
  <c r="FM15"/>
  <c r="FF15"/>
  <c r="FF19"/>
  <c r="ED19"/>
  <c r="EY19"/>
  <c r="ER19"/>
  <c r="FT19"/>
  <c r="FM19"/>
  <c r="EK19"/>
  <c r="EK8"/>
  <c r="ED8"/>
  <c r="FF8"/>
  <c r="EY8"/>
  <c r="FM8"/>
  <c r="FT8"/>
  <c r="ER8"/>
  <c r="ER12"/>
  <c r="EK12"/>
  <c r="EY12"/>
  <c r="FT12"/>
  <c r="ED12"/>
  <c r="FM12"/>
  <c r="FF12"/>
  <c r="EK16"/>
  <c r="ER16"/>
  <c r="FT16"/>
  <c r="FM16"/>
  <c r="ED16"/>
  <c r="FF16"/>
  <c r="EY16"/>
  <c r="ED20"/>
  <c r="FF20"/>
  <c r="EY20"/>
  <c r="EK20"/>
  <c r="ER20"/>
  <c r="FM20"/>
  <c r="FT20"/>
  <c r="C22" i="19"/>
  <c r="L22" i="28"/>
  <c r="C22" i="26"/>
  <c r="S18"/>
  <c r="AF18" i="28"/>
  <c r="U18" i="19"/>
  <c r="AP4" i="28"/>
  <c r="AC4" i="19"/>
  <c r="Z4" i="26"/>
  <c r="G11"/>
  <c r="G11" i="28"/>
  <c r="H11" i="19"/>
  <c r="H12" i="26"/>
  <c r="I12" i="19"/>
  <c r="H12" i="28"/>
  <c r="L13"/>
  <c r="C13" i="26"/>
  <c r="C13" i="19"/>
  <c r="EK14" i="3"/>
  <c r="O11" i="21"/>
  <c r="ED14" i="3"/>
  <c r="N11" i="21"/>
  <c r="FM14" i="3"/>
  <c r="L11" i="21"/>
  <c r="FT14" i="3"/>
  <c r="K11" i="21"/>
  <c r="EY14" i="3"/>
  <c r="P11" i="21"/>
  <c r="FF14" i="3"/>
  <c r="Q11" i="21"/>
  <c r="ER14" i="3"/>
  <c r="EY15"/>
  <c r="P12" i="21"/>
  <c r="ER15" i="3"/>
  <c r="FM15"/>
  <c r="L12" i="21"/>
  <c r="FT15" i="3"/>
  <c r="K12" i="21"/>
  <c r="FF15" i="3"/>
  <c r="Q12" i="21"/>
  <c r="EK15" i="3"/>
  <c r="O12" i="21"/>
  <c r="ED15" i="3"/>
  <c r="N12" i="21"/>
  <c r="FF8" i="3"/>
  <c r="Q5" i="21"/>
  <c r="EK8" i="3"/>
  <c r="O5" i="21"/>
  <c r="ER8" i="3"/>
  <c r="ED8"/>
  <c r="N5" i="21"/>
  <c r="EY8" i="3"/>
  <c r="P5" i="21"/>
  <c r="FM8" i="3"/>
  <c r="L5" i="21"/>
  <c r="FT8" i="3"/>
  <c r="K5" i="21"/>
  <c r="EY12" i="3"/>
  <c r="P9" i="21"/>
  <c r="EK12" i="3"/>
  <c r="O9" i="21"/>
  <c r="ER12" i="3"/>
  <c r="FF12"/>
  <c r="Q9" i="21"/>
  <c r="ED12" i="3"/>
  <c r="N9" i="21"/>
  <c r="FM12" i="3"/>
  <c r="L9" i="21"/>
  <c r="FT12" i="3"/>
  <c r="K9" i="21"/>
  <c r="ED11" i="3"/>
  <c r="N8" i="21"/>
  <c r="EY11" i="3"/>
  <c r="P8" i="21"/>
  <c r="FT11" i="3"/>
  <c r="K8" i="21"/>
  <c r="FM11" i="3"/>
  <c r="L8" i="21"/>
  <c r="EK11" i="3"/>
  <c r="O8" i="21"/>
  <c r="FF11" i="3"/>
  <c r="Q8" i="21"/>
  <c r="ER11" i="3"/>
  <c r="EY19"/>
  <c r="P16" i="21"/>
  <c r="ED19" i="3"/>
  <c r="N16" i="21"/>
  <c r="FM19" i="3"/>
  <c r="L16" i="21"/>
  <c r="FF19" i="3"/>
  <c r="Q16" i="21"/>
  <c r="ER19" i="3"/>
  <c r="EK19"/>
  <c r="O16" i="21"/>
  <c r="FT19" i="3"/>
  <c r="K16" i="21"/>
  <c r="FM24" i="3"/>
  <c r="ER24"/>
  <c r="FF24"/>
  <c r="ED24"/>
  <c r="EY24"/>
  <c r="EK24"/>
  <c r="FT24"/>
  <c r="FT27"/>
  <c r="ED27"/>
  <c r="EK27"/>
  <c r="FF27"/>
  <c r="FM27"/>
  <c r="ER27"/>
  <c r="EY27"/>
  <c r="EK13"/>
  <c r="O10" i="21"/>
  <c r="EY13" i="3"/>
  <c r="P10" i="21"/>
  <c r="FM13" i="3"/>
  <c r="L10" i="21"/>
  <c r="FT13" i="3"/>
  <c r="K10" i="21"/>
  <c r="ER13" i="3"/>
  <c r="ED13"/>
  <c r="N10" i="21"/>
  <c r="FF13" i="3"/>
  <c r="Q10" i="21"/>
  <c r="FM22" i="3"/>
  <c r="L19" i="21"/>
  <c r="EK22" i="3"/>
  <c r="O19" i="21"/>
  <c r="FF22" i="3"/>
  <c r="Q19" i="21"/>
  <c r="ER22" i="3"/>
  <c r="FT22"/>
  <c r="K19" i="21"/>
  <c r="ED22" i="3"/>
  <c r="N19" i="21"/>
  <c r="EY22" i="3"/>
  <c r="P19" i="21"/>
  <c r="ET19" i="3"/>
  <c r="FV19"/>
  <c r="AC16" i="21"/>
  <c r="FO19" i="3"/>
  <c r="AD16" i="21"/>
  <c r="FA19" i="3"/>
  <c r="AH16" i="21"/>
  <c r="EF19" i="3"/>
  <c r="AF16" i="21"/>
  <c r="FH19" i="3"/>
  <c r="AI16" i="21"/>
  <c r="EM19" i="3"/>
  <c r="AG16" i="21"/>
  <c r="EM11" i="3"/>
  <c r="AG8" i="21"/>
  <c r="FV11" i="3"/>
  <c r="AC8" i="21"/>
  <c r="EF11" i="3"/>
  <c r="AF8" i="21"/>
  <c r="ET11" i="3"/>
  <c r="FO11"/>
  <c r="AD8" i="21"/>
  <c r="FA11" i="3"/>
  <c r="AH8" i="21"/>
  <c r="FH11" i="3"/>
  <c r="AI8" i="21"/>
  <c r="EM21" i="3"/>
  <c r="AG18" i="21"/>
  <c r="FO21" i="3"/>
  <c r="AD18" i="21"/>
  <c r="EF21" i="3"/>
  <c r="AF18" i="21"/>
  <c r="FA21" i="3"/>
  <c r="AH18" i="21"/>
  <c r="FH21" i="3"/>
  <c r="AI18" i="21"/>
  <c r="FV21" i="3"/>
  <c r="AC18" i="21"/>
  <c r="ET21" i="3"/>
  <c r="FA17"/>
  <c r="AH14" i="21"/>
  <c r="FO17" i="3"/>
  <c r="AD14" i="21"/>
  <c r="EM17" i="3"/>
  <c r="AG14" i="21"/>
  <c r="ET17" i="3"/>
  <c r="FH17"/>
  <c r="AI14" i="21"/>
  <c r="FV17" i="3"/>
  <c r="AC14" i="21"/>
  <c r="EF17" i="3"/>
  <c r="AF14" i="21"/>
  <c r="EN22" i="22"/>
  <c r="EU22"/>
  <c r="FB22"/>
  <c r="FW22"/>
  <c r="FI22"/>
  <c r="EG22"/>
  <c r="FP22"/>
  <c r="FB21"/>
  <c r="FP21"/>
  <c r="FI21"/>
  <c r="EU21"/>
  <c r="EN21"/>
  <c r="EG21"/>
  <c r="FW21"/>
  <c r="FP13"/>
  <c r="FB13"/>
  <c r="FI13"/>
  <c r="EG13"/>
  <c r="EU13"/>
  <c r="FW13"/>
  <c r="EN13"/>
  <c r="C16" i="4"/>
  <c r="E16" i="19"/>
  <c r="D16" i="26"/>
  <c r="D16" i="28"/>
  <c r="D10"/>
  <c r="C10" i="4"/>
  <c r="D10" i="26"/>
  <c r="E10" i="19"/>
  <c r="D5" i="26"/>
  <c r="C5" i="4"/>
  <c r="E5" i="19"/>
  <c r="D5" i="28"/>
  <c r="E8" i="19"/>
  <c r="C8" i="4"/>
  <c r="D8" i="28"/>
  <c r="D8" i="26"/>
  <c r="DL21" i="3"/>
  <c r="DE21"/>
  <c r="DH16"/>
  <c r="DA16"/>
  <c r="D19" i="28"/>
  <c r="D19" i="26"/>
  <c r="C19" i="4"/>
  <c r="E19" i="19"/>
  <c r="D22" i="28"/>
  <c r="C22" i="4"/>
  <c r="D22" i="26"/>
  <c r="E22" i="19"/>
  <c r="Z9" i="26"/>
  <c r="AP9" i="28"/>
  <c r="AC9" i="19"/>
  <c r="L20"/>
  <c r="U20" i="28"/>
  <c r="J22" i="26"/>
  <c r="V22" i="28"/>
  <c r="K22" i="19"/>
  <c r="L18"/>
  <c r="U18" i="28"/>
  <c r="I16" i="19"/>
  <c r="H16" i="28"/>
  <c r="H16" i="26"/>
  <c r="DE14" i="3"/>
  <c r="FP18"/>
  <c r="DL14"/>
  <c r="FW18"/>
  <c r="DE15"/>
  <c r="FP21"/>
  <c r="DL15"/>
  <c r="FW21"/>
  <c r="L16" i="28"/>
  <c r="C16" i="19"/>
  <c r="C16" i="26"/>
  <c r="C10"/>
  <c r="L10" i="28"/>
  <c r="C10" i="19"/>
  <c r="K8" i="28"/>
  <c r="D8" i="19"/>
  <c r="AP7" i="28"/>
  <c r="AC7" i="19"/>
  <c r="Z7" i="26"/>
  <c r="K20" i="28"/>
  <c r="D20" i="19"/>
  <c r="K11" i="28"/>
  <c r="D11" i="19"/>
  <c r="EH15" i="3"/>
  <c r="EO15"/>
  <c r="EV15"/>
  <c r="FQ15"/>
  <c r="FX15"/>
  <c r="FJ15"/>
  <c r="EV23"/>
  <c r="EH23"/>
  <c r="EO23"/>
  <c r="FX23"/>
  <c r="FQ23"/>
  <c r="FJ23"/>
  <c r="FQ12"/>
  <c r="FX12"/>
  <c r="EV12"/>
  <c r="EO12"/>
  <c r="EH12"/>
  <c r="FJ12"/>
  <c r="FQ19"/>
  <c r="EV19"/>
  <c r="FJ19"/>
  <c r="FX19"/>
  <c r="EO19"/>
  <c r="EH19"/>
  <c r="FX16"/>
  <c r="FJ16"/>
  <c r="FQ16"/>
  <c r="EV16"/>
  <c r="EH16"/>
  <c r="EO16"/>
  <c r="FQ24"/>
  <c r="EH24"/>
  <c r="FX24"/>
  <c r="FJ24"/>
  <c r="EV24"/>
  <c r="EO24"/>
  <c r="EO18"/>
  <c r="FJ18"/>
  <c r="EV18"/>
  <c r="FX18"/>
  <c r="EH18"/>
  <c r="FQ18"/>
  <c r="FX8"/>
  <c r="EO8"/>
  <c r="EV8"/>
  <c r="FJ8"/>
  <c r="FQ8"/>
  <c r="EH8"/>
  <c r="FQ17"/>
  <c r="EV17"/>
  <c r="FX17"/>
  <c r="FJ17"/>
  <c r="EH17"/>
  <c r="EO17"/>
  <c r="FX21"/>
  <c r="FQ21"/>
  <c r="EH21"/>
  <c r="EO21"/>
  <c r="EV21"/>
  <c r="FJ21"/>
  <c r="ET22" i="22"/>
  <c r="FA22"/>
  <c r="EM22"/>
  <c r="FO22"/>
  <c r="EF22"/>
  <c r="FH22"/>
  <c r="FV22"/>
  <c r="FV9"/>
  <c r="EM9"/>
  <c r="ET9"/>
  <c r="FO9"/>
  <c r="FA9"/>
  <c r="FH9"/>
  <c r="EF9"/>
  <c r="ET19"/>
  <c r="EM19"/>
  <c r="FV19"/>
  <c r="EF19"/>
  <c r="FH19"/>
  <c r="FO19"/>
  <c r="FA19"/>
  <c r="FA12"/>
  <c r="ET12"/>
  <c r="FH12"/>
  <c r="FV12"/>
  <c r="FO12"/>
  <c r="EF12"/>
  <c r="EM12"/>
  <c r="EM18"/>
  <c r="FV18"/>
  <c r="FO18"/>
  <c r="FA18"/>
  <c r="ET18"/>
  <c r="EF18"/>
  <c r="FH18"/>
  <c r="FA16"/>
  <c r="FO16"/>
  <c r="ET16"/>
  <c r="FH16"/>
  <c r="FV16"/>
  <c r="EM16"/>
  <c r="EF16"/>
  <c r="FA17"/>
  <c r="ET17"/>
  <c r="FH17"/>
  <c r="FO17"/>
  <c r="FV17"/>
  <c r="EF17"/>
  <c r="EM17"/>
  <c r="EF8"/>
  <c r="EM8"/>
  <c r="FO8"/>
  <c r="ET8"/>
  <c r="FA8"/>
  <c r="FH8"/>
  <c r="FV8"/>
  <c r="H9" i="19"/>
  <c r="G9" i="26"/>
  <c r="G9" i="28"/>
  <c r="G4"/>
  <c r="G4" i="26"/>
  <c r="H4" i="19"/>
  <c r="DV10" i="3"/>
  <c r="DV13"/>
  <c r="DV11"/>
  <c r="DV12"/>
  <c r="DV24"/>
  <c r="DV27"/>
  <c r="DV18"/>
  <c r="DV14"/>
  <c r="DV19"/>
  <c r="DV23"/>
  <c r="DV15"/>
  <c r="DV20"/>
  <c r="DV16"/>
  <c r="DV21"/>
  <c r="DV25"/>
  <c r="DV26"/>
  <c r="DV17"/>
  <c r="DV22"/>
  <c r="DV9"/>
  <c r="DV8"/>
  <c r="FJ19" i="22"/>
  <c r="FQ19"/>
  <c r="EO19"/>
  <c r="EH19"/>
  <c r="EV19"/>
  <c r="FX19"/>
  <c r="FJ9"/>
  <c r="FQ9"/>
  <c r="FX9"/>
  <c r="EO9"/>
  <c r="EH9"/>
  <c r="EV9"/>
  <c r="FJ18"/>
  <c r="EV18"/>
  <c r="EO18"/>
  <c r="EH18"/>
  <c r="FX18"/>
  <c r="FQ18"/>
  <c r="FQ14"/>
  <c r="FJ14"/>
  <c r="EV14"/>
  <c r="FX14"/>
  <c r="EH14"/>
  <c r="EO14"/>
  <c r="FJ11"/>
  <c r="FX11"/>
  <c r="EH11"/>
  <c r="EO11"/>
  <c r="EV11"/>
  <c r="FQ11"/>
  <c r="FQ8"/>
  <c r="FJ8"/>
  <c r="FX8"/>
  <c r="EV8"/>
  <c r="EO8"/>
  <c r="EH8"/>
  <c r="EV13"/>
  <c r="FQ13"/>
  <c r="EH13"/>
  <c r="EO13"/>
  <c r="FX13"/>
  <c r="FJ13"/>
  <c r="FQ22"/>
  <c r="EO22"/>
  <c r="FJ22"/>
  <c r="FX22"/>
  <c r="EH22"/>
  <c r="EV22"/>
  <c r="FG11"/>
  <c r="FU11"/>
  <c r="EE11"/>
  <c r="FN11"/>
  <c r="EZ11"/>
  <c r="EL11"/>
  <c r="ES11"/>
  <c r="FU9"/>
  <c r="ES9"/>
  <c r="EE9"/>
  <c r="FN9"/>
  <c r="FG9"/>
  <c r="EZ9"/>
  <c r="EL9"/>
  <c r="EL22"/>
  <c r="FU22"/>
  <c r="FG22"/>
  <c r="ES22"/>
  <c r="EZ22"/>
  <c r="EE22"/>
  <c r="FN22"/>
  <c r="EE10"/>
  <c r="FU10"/>
  <c r="EZ10"/>
  <c r="ES10"/>
  <c r="EL10"/>
  <c r="FN10"/>
  <c r="FG10"/>
  <c r="ES13"/>
  <c r="EL13"/>
  <c r="FG13"/>
  <c r="FU13"/>
  <c r="EZ13"/>
  <c r="EE13"/>
  <c r="FN13"/>
  <c r="FU8"/>
  <c r="EL8"/>
  <c r="FG8"/>
  <c r="ES8"/>
  <c r="EZ8"/>
  <c r="FN8"/>
  <c r="EE8"/>
  <c r="FG21"/>
  <c r="EE21"/>
  <c r="FN21"/>
  <c r="EL21"/>
  <c r="ES21"/>
  <c r="EZ21"/>
  <c r="FU21"/>
  <c r="U8" i="28"/>
  <c r="L8" i="19"/>
  <c r="D17"/>
  <c r="K17" i="28"/>
  <c r="C6" i="19"/>
  <c r="C6" i="26"/>
  <c r="L6" i="28"/>
  <c r="EN23" i="3"/>
  <c r="EG23"/>
  <c r="FW23"/>
  <c r="EU23"/>
  <c r="FB23"/>
  <c r="FP23"/>
  <c r="FI23"/>
  <c r="EU12"/>
  <c r="FB12"/>
  <c r="FI12"/>
  <c r="FP12"/>
  <c r="EG12"/>
  <c r="EN12"/>
  <c r="FW12"/>
  <c r="EG24"/>
  <c r="FP24"/>
  <c r="FB24"/>
  <c r="EN24"/>
  <c r="FW24"/>
  <c r="EU24"/>
  <c r="FI24"/>
  <c r="FB27"/>
  <c r="FP27"/>
  <c r="EN27"/>
  <c r="EU27"/>
  <c r="FI27"/>
  <c r="FW27"/>
  <c r="EG27"/>
  <c r="FB13"/>
  <c r="FP13"/>
  <c r="FW13"/>
  <c r="FI13"/>
  <c r="EG13"/>
  <c r="EU13"/>
  <c r="EN13"/>
  <c r="EN15"/>
  <c r="FB15"/>
  <c r="FI15"/>
  <c r="EG15"/>
  <c r="FP15"/>
  <c r="FW15"/>
  <c r="EU15"/>
  <c r="EN8"/>
  <c r="EU8"/>
  <c r="FI8"/>
  <c r="FB8"/>
  <c r="EG8"/>
  <c r="EG10"/>
  <c r="FW10"/>
  <c r="FB10"/>
  <c r="FP10"/>
  <c r="FI10"/>
  <c r="EU10"/>
  <c r="EN10"/>
  <c r="FI9"/>
  <c r="EU9"/>
  <c r="EG9"/>
  <c r="FP9"/>
  <c r="FW9"/>
  <c r="FB9"/>
  <c r="EN9"/>
  <c r="EN14"/>
  <c r="EG14"/>
  <c r="FP14"/>
  <c r="FW14"/>
  <c r="EU14"/>
  <c r="FI14"/>
  <c r="FB14"/>
  <c r="S13" i="26"/>
  <c r="U13" i="19"/>
  <c r="AF13" i="28"/>
  <c r="AE20"/>
  <c r="V20" i="19"/>
  <c r="AO10" i="28"/>
  <c r="AD10" i="19"/>
  <c r="H7" i="26"/>
  <c r="H7" i="28"/>
  <c r="I7" i="19"/>
  <c r="EF18" i="3"/>
  <c r="AF15" i="21"/>
  <c r="FA18" i="3"/>
  <c r="AH15" i="21"/>
  <c r="EM18" i="3"/>
  <c r="AG15" i="21"/>
  <c r="FH18" i="3"/>
  <c r="AI15" i="21"/>
  <c r="FO18" i="3"/>
  <c r="AD15" i="21"/>
  <c r="FV18" i="3"/>
  <c r="AC15" i="21"/>
  <c r="ET18" i="3"/>
  <c r="FA10"/>
  <c r="AH7" i="21"/>
  <c r="EM10" i="3"/>
  <c r="AG7" i="21"/>
  <c r="FH10" i="3"/>
  <c r="AI7" i="21"/>
  <c r="FO10" i="3"/>
  <c r="AD7" i="21"/>
  <c r="FV10" i="3"/>
  <c r="AC7" i="21"/>
  <c r="EF10" i="3"/>
  <c r="AF7" i="21"/>
  <c r="ET10" i="3"/>
  <c r="EF26"/>
  <c r="FO26"/>
  <c r="FV26"/>
  <c r="FA26"/>
  <c r="ET26"/>
  <c r="EM26"/>
  <c r="FH26"/>
  <c r="FV20"/>
  <c r="AC17" i="21"/>
  <c r="EM20" i="3"/>
  <c r="AG17" i="21"/>
  <c r="FO20" i="3"/>
  <c r="AD17" i="21"/>
  <c r="FA20" i="3"/>
  <c r="AH17" i="21"/>
  <c r="FH20" i="3"/>
  <c r="AI17" i="21"/>
  <c r="EF20" i="3"/>
  <c r="AF17" i="21"/>
  <c r="ET20" i="3"/>
  <c r="FA27"/>
  <c r="ET27"/>
  <c r="FO27"/>
  <c r="FV27"/>
  <c r="EF27"/>
  <c r="EM27"/>
  <c r="FH27"/>
  <c r="E20" i="19"/>
  <c r="D20" i="26"/>
  <c r="D20" i="28"/>
  <c r="C20" i="4"/>
  <c r="FW19" i="22"/>
  <c r="EN19"/>
  <c r="EU19"/>
  <c r="FB19"/>
  <c r="FI19"/>
  <c r="FP19"/>
  <c r="EG19"/>
  <c r="FI17"/>
  <c r="FB17"/>
  <c r="EG17"/>
  <c r="FW17"/>
  <c r="EN17"/>
  <c r="FP17"/>
  <c r="EU17"/>
  <c r="FB9"/>
  <c r="FW9"/>
  <c r="EG9"/>
  <c r="EN9"/>
  <c r="FP9"/>
  <c r="EU9"/>
  <c r="FI9"/>
  <c r="EN16"/>
  <c r="FW16"/>
  <c r="FP16"/>
  <c r="FI16"/>
  <c r="EU16"/>
  <c r="FB16"/>
  <c r="EG16"/>
  <c r="DA8" i="3"/>
  <c r="DH8"/>
  <c r="DH25"/>
  <c r="DA25"/>
  <c r="DL13"/>
  <c r="FW8"/>
  <c r="DE13"/>
  <c r="FP8"/>
  <c r="DA13"/>
  <c r="DH13"/>
  <c r="D7" i="26"/>
  <c r="E7" i="19"/>
  <c r="C7" i="4"/>
  <c r="D7" i="28"/>
  <c r="F15" i="25"/>
  <c r="AQ56" i="3"/>
  <c r="I16" i="28"/>
  <c r="AP18"/>
  <c r="AC18" i="19"/>
  <c r="Z18" i="26"/>
  <c r="DV17" i="22"/>
  <c r="DV11"/>
  <c r="DV18"/>
  <c r="DV19"/>
  <c r="DV20"/>
  <c r="DV12"/>
  <c r="DV8"/>
  <c r="DV21"/>
  <c r="DV9"/>
  <c r="DV13"/>
  <c r="DV16"/>
  <c r="DV14"/>
  <c r="DV10"/>
  <c r="DV22"/>
  <c r="DV15"/>
  <c r="L5" i="28"/>
  <c r="C5" i="19"/>
  <c r="C5" i="26"/>
  <c r="FN25" i="3"/>
  <c r="EE25"/>
  <c r="FU25"/>
  <c r="FG25"/>
  <c r="EL25"/>
  <c r="EZ25"/>
  <c r="ES25"/>
  <c r="EZ22"/>
  <c r="Z19" i="21"/>
  <c r="FN22" i="3"/>
  <c r="V19" i="21"/>
  <c r="EL22" i="3"/>
  <c r="Y19" i="21"/>
  <c r="ES22" i="3"/>
  <c r="FU22"/>
  <c r="U19" i="21"/>
  <c r="EE22" i="3"/>
  <c r="X19" i="21"/>
  <c r="FG22" i="3"/>
  <c r="AA19" i="21"/>
  <c r="FG20" i="3"/>
  <c r="AA17" i="21"/>
  <c r="EE20" i="3"/>
  <c r="X17" i="21"/>
  <c r="FN20" i="3"/>
  <c r="V17" i="21"/>
  <c r="FU20" i="3"/>
  <c r="U17" i="21"/>
  <c r="EZ20" i="3"/>
  <c r="Z17" i="21"/>
  <c r="ES20" i="3"/>
  <c r="EL20"/>
  <c r="Y17" i="21"/>
  <c r="FN18" i="3"/>
  <c r="V15" i="21"/>
  <c r="EL18" i="3"/>
  <c r="Y15" i="21"/>
  <c r="EE18" i="3"/>
  <c r="X15" i="21"/>
  <c r="FG18" i="3"/>
  <c r="AA15" i="21"/>
  <c r="FU18" i="3"/>
  <c r="U15" i="21"/>
  <c r="EZ18" i="3"/>
  <c r="Z15" i="21"/>
  <c r="ES18" i="3"/>
  <c r="FG13"/>
  <c r="AA10" i="21"/>
  <c r="ES13" i="3"/>
  <c r="FN13"/>
  <c r="V10" i="21"/>
  <c r="EL13" i="3"/>
  <c r="Y10" i="21"/>
  <c r="EZ13" i="3"/>
  <c r="Z10" i="21"/>
  <c r="FU13" i="3"/>
  <c r="U10" i="21"/>
  <c r="EE13" i="3"/>
  <c r="X10" i="21"/>
  <c r="ES17" i="3"/>
  <c r="FG17"/>
  <c r="AA14" i="21"/>
  <c r="FU17" i="3"/>
  <c r="U14" i="21"/>
  <c r="EZ17" i="3"/>
  <c r="Z14" i="21"/>
  <c r="FN17" i="3"/>
  <c r="V14" i="21"/>
  <c r="EL17" i="3"/>
  <c r="Y14" i="21"/>
  <c r="EE17" i="3"/>
  <c r="X14" i="21"/>
  <c r="EE8" i="3"/>
  <c r="X5" i="21"/>
  <c r="FN8" i="3"/>
  <c r="V5" i="21"/>
  <c r="FG8" i="3"/>
  <c r="AA5" i="21"/>
  <c r="ES8" i="3"/>
  <c r="EL8"/>
  <c r="Y5" i="21"/>
  <c r="EZ8" i="3"/>
  <c r="Z5" i="21"/>
  <c r="FU8" i="3"/>
  <c r="U5" i="21"/>
  <c r="FN10" i="3"/>
  <c r="V7" i="21"/>
  <c r="EE10" i="3"/>
  <c r="X7" i="21"/>
  <c r="EL10" i="3"/>
  <c r="Y7" i="21"/>
  <c r="FU10" i="3"/>
  <c r="U7" i="21"/>
  <c r="EZ10" i="3"/>
  <c r="Z7" i="21"/>
  <c r="FG10" i="3"/>
  <c r="AA7" i="21"/>
  <c r="ES10" i="3"/>
  <c r="EE27"/>
  <c r="EL27"/>
  <c r="EZ27"/>
  <c r="FN27"/>
  <c r="FG27"/>
  <c r="FU27"/>
  <c r="ES27"/>
  <c r="FU15"/>
  <c r="U12" i="21"/>
  <c r="EE15" i="3"/>
  <c r="X12" i="21"/>
  <c r="FG15" i="3"/>
  <c r="AA12" i="21"/>
  <c r="EZ15" i="3"/>
  <c r="Z12" i="21"/>
  <c r="FN15" i="3"/>
  <c r="V12" i="21"/>
  <c r="EL15" i="3"/>
  <c r="Y12" i="21"/>
  <c r="ES15" i="3"/>
  <c r="J23" i="26"/>
  <c r="K23" i="19"/>
  <c r="V23" i="28"/>
  <c r="H20" i="19"/>
  <c r="G20" i="28"/>
  <c r="G20" i="26"/>
  <c r="H6" i="28"/>
  <c r="I6" i="19"/>
  <c r="H6" i="26"/>
  <c r="AE15" i="28"/>
  <c r="V15" i="19"/>
  <c r="FM9" i="22"/>
  <c r="ER9"/>
  <c r="EK9"/>
  <c r="FT9"/>
  <c r="FF9"/>
  <c r="ED9"/>
  <c r="EY9"/>
  <c r="EK17"/>
  <c r="EY17"/>
  <c r="FF17"/>
  <c r="FT17"/>
  <c r="ED17"/>
  <c r="ER17"/>
  <c r="FM17"/>
  <c r="EK10"/>
  <c r="ER10"/>
  <c r="FF10"/>
  <c r="FT10"/>
  <c r="ED10"/>
  <c r="FM10"/>
  <c r="EY10"/>
  <c r="FF18"/>
  <c r="FT18"/>
  <c r="EK18"/>
  <c r="ED18"/>
  <c r="EY18"/>
  <c r="FM18"/>
  <c r="ER18"/>
  <c r="FT13"/>
  <c r="ED13"/>
  <c r="FF13"/>
  <c r="EY13"/>
  <c r="FM13"/>
  <c r="ER13"/>
  <c r="EK13"/>
  <c r="EY21"/>
  <c r="FM21"/>
  <c r="FT21"/>
  <c r="EK21"/>
  <c r="FF21"/>
  <c r="ED21"/>
  <c r="ER21"/>
  <c r="FT14"/>
  <c r="EK14"/>
  <c r="ED14"/>
  <c r="FF14"/>
  <c r="EY14"/>
  <c r="FM14"/>
  <c r="ER14"/>
  <c r="K22" i="28"/>
  <c r="D22" i="19"/>
  <c r="V18"/>
  <c r="AE18" i="28"/>
  <c r="AO4"/>
  <c r="AD4" i="19"/>
  <c r="I11"/>
  <c r="H11" i="26"/>
  <c r="H11" i="28"/>
  <c r="G12"/>
  <c r="G12" i="26"/>
  <c r="H12" i="19"/>
  <c r="D13"/>
  <c r="K13" i="28"/>
  <c r="FT9" i="3"/>
  <c r="K6" i="21"/>
  <c r="EY9" i="3"/>
  <c r="P6" i="21"/>
  <c r="EK9" i="3"/>
  <c r="O6" i="21"/>
  <c r="FF9" i="3"/>
  <c r="Q6" i="21"/>
  <c r="ER9" i="3"/>
  <c r="FM9"/>
  <c r="L6" i="21"/>
  <c r="ED9" i="3"/>
  <c r="N6" i="21"/>
  <c r="EK17" i="3"/>
  <c r="O14" i="21"/>
  <c r="FT17" i="3"/>
  <c r="K14" i="21"/>
  <c r="FM17" i="3"/>
  <c r="L14" i="21"/>
  <c r="ER17" i="3"/>
  <c r="EY17"/>
  <c r="P14" i="21"/>
  <c r="ED17" i="3"/>
  <c r="N14" i="21"/>
  <c r="FF17" i="3"/>
  <c r="Q14" i="21"/>
  <c r="FF23" i="3"/>
  <c r="FT23"/>
  <c r="ER23"/>
  <c r="FM23"/>
  <c r="EK23"/>
  <c r="EY23"/>
  <c r="ED23"/>
  <c r="FT26"/>
  <c r="EY26"/>
  <c r="FF26"/>
  <c r="ED26"/>
  <c r="ER26"/>
  <c r="FM26"/>
  <c r="EK26"/>
  <c r="EY20"/>
  <c r="P17" i="21"/>
  <c r="FT20" i="3"/>
  <c r="K17" i="21"/>
  <c r="ER20" i="3"/>
  <c r="ED20"/>
  <c r="N17" i="21"/>
  <c r="EK20" i="3"/>
  <c r="O17" i="21"/>
  <c r="FM20" i="3"/>
  <c r="L17" i="21"/>
  <c r="FF20" i="3"/>
  <c r="Q17" i="21"/>
  <c r="ED18" i="3"/>
  <c r="N15" i="21"/>
  <c r="ER18" i="3"/>
  <c r="FT18"/>
  <c r="K15" i="21"/>
  <c r="FF18" i="3"/>
  <c r="Q15" i="21"/>
  <c r="EK18" i="3"/>
  <c r="O15" i="21"/>
  <c r="EY18" i="3"/>
  <c r="P15" i="21"/>
  <c r="FM18" i="3"/>
  <c r="L15" i="21"/>
  <c r="ED16" i="3"/>
  <c r="N13" i="21"/>
  <c r="FT16" i="3"/>
  <c r="K13" i="21"/>
  <c r="ER16" i="3"/>
  <c r="FM16"/>
  <c r="L13" i="21"/>
  <c r="EY16" i="3"/>
  <c r="P13" i="21"/>
  <c r="EK16" i="3"/>
  <c r="O13" i="21"/>
  <c r="FF16" i="3"/>
  <c r="Q13" i="21"/>
  <c r="EK10" i="3"/>
  <c r="O7" i="21"/>
  <c r="FF10" i="3"/>
  <c r="Q7" i="21"/>
  <c r="ER10" i="3"/>
  <c r="ED10"/>
  <c r="N7" i="21"/>
  <c r="FM10" i="3"/>
  <c r="L7" i="21"/>
  <c r="EY10" i="3"/>
  <c r="P7" i="21"/>
  <c r="FT10" i="3"/>
  <c r="K7" i="21"/>
  <c r="FF25" i="3"/>
  <c r="ER25"/>
  <c r="FT25"/>
  <c r="ED25"/>
  <c r="EK25"/>
  <c r="FM25"/>
  <c r="EY25"/>
  <c r="FT21"/>
  <c r="K18" i="21"/>
  <c r="ED21" i="3"/>
  <c r="N18" i="21"/>
  <c r="EK21" i="3"/>
  <c r="O18" i="21"/>
  <c r="FF21" i="3"/>
  <c r="Q18" i="21"/>
  <c r="FM21" i="3"/>
  <c r="L18" i="21"/>
  <c r="EY21" i="3"/>
  <c r="P18" i="21"/>
  <c r="ER21" i="3"/>
  <c r="FV8"/>
  <c r="AC5" i="21"/>
  <c r="EX22" i="22"/>
  <c r="FS22"/>
  <c r="FE22"/>
  <c r="EJ22"/>
  <c r="EQ22"/>
  <c r="FL22"/>
  <c r="EC22"/>
  <c r="EQ14"/>
  <c r="FL14"/>
  <c r="FS14"/>
  <c r="FE14"/>
  <c r="EX14"/>
  <c r="EJ14"/>
  <c r="EC14"/>
  <c r="FL13"/>
  <c r="FS13"/>
  <c r="EQ13"/>
  <c r="EJ13"/>
  <c r="FE13"/>
  <c r="EX13"/>
  <c r="EC13"/>
  <c r="FS21"/>
  <c r="EX21"/>
  <c r="FE21"/>
  <c r="EQ21"/>
  <c r="EJ21"/>
  <c r="EC21"/>
  <c r="FL21"/>
  <c r="FL12"/>
  <c r="EX12"/>
  <c r="FS12"/>
  <c r="EJ12"/>
  <c r="EQ12"/>
  <c r="FE12"/>
  <c r="EC12"/>
  <c r="FS19"/>
  <c r="FL19"/>
  <c r="EJ19"/>
  <c r="EX19"/>
  <c r="EC19"/>
  <c r="EQ19"/>
  <c r="FE19"/>
  <c r="EJ11"/>
  <c r="FS11"/>
  <c r="FL11"/>
  <c r="EQ11"/>
  <c r="EC11"/>
  <c r="EX11"/>
  <c r="FE11"/>
  <c r="D9" i="19"/>
  <c r="K9" i="28"/>
  <c r="C21" i="19"/>
  <c r="C21" i="26"/>
  <c r="L21" i="28"/>
  <c r="K4"/>
  <c r="D4" i="19"/>
  <c r="EX8" i="3"/>
  <c r="H5" i="21"/>
  <c r="EJ8" i="3"/>
  <c r="G5" i="21"/>
  <c r="FS8" i="3"/>
  <c r="C5" i="21"/>
  <c r="FL8" i="3"/>
  <c r="D5" i="21"/>
  <c r="EC8" i="3"/>
  <c r="F5" i="21"/>
  <c r="EQ8" i="3"/>
  <c r="FE8"/>
  <c r="I5" i="21"/>
  <c r="FL22" i="3"/>
  <c r="D19" i="21"/>
  <c r="EC22" i="3"/>
  <c r="F19" i="21"/>
  <c r="FE22" i="3"/>
  <c r="I19" i="21"/>
  <c r="EQ22" i="3"/>
  <c r="FS22"/>
  <c r="C19" i="21"/>
  <c r="EX22" i="3"/>
  <c r="H19" i="21"/>
  <c r="EJ22" i="3"/>
  <c r="G19" i="21"/>
  <c r="FL26" i="3"/>
  <c r="FZ26"/>
  <c r="EJ26"/>
  <c r="FS26"/>
  <c r="EX26"/>
  <c r="FE26"/>
  <c r="EC26"/>
  <c r="EQ26"/>
  <c r="EJ21"/>
  <c r="G18" i="21"/>
  <c r="FL21" i="3"/>
  <c r="D18" i="21"/>
  <c r="EC21" i="3"/>
  <c r="F18" i="21"/>
  <c r="EQ21" i="3"/>
  <c r="FS21"/>
  <c r="C18" i="21"/>
  <c r="EX21" i="3"/>
  <c r="H18" i="21"/>
  <c r="FE21" i="3"/>
  <c r="I18" i="21"/>
  <c r="EX20" i="3"/>
  <c r="H17" i="21"/>
  <c r="EC20" i="3"/>
  <c r="F17" i="21"/>
  <c r="FS20" i="3"/>
  <c r="C17" i="21"/>
  <c r="FL20" i="3"/>
  <c r="D17" i="21"/>
  <c r="FE20" i="3"/>
  <c r="I17" i="21"/>
  <c r="EQ20" i="3"/>
  <c r="EJ20"/>
  <c r="G17" i="21"/>
  <c r="FZ23" i="3"/>
  <c r="EQ23"/>
  <c r="EC23"/>
  <c r="EJ23"/>
  <c r="EX23"/>
  <c r="FS23"/>
  <c r="FE23"/>
  <c r="FL23"/>
  <c r="FS14"/>
  <c r="C11" i="21"/>
  <c r="EC14" i="3"/>
  <c r="F11" i="21"/>
  <c r="FL14" i="3"/>
  <c r="D11" i="21"/>
  <c r="EQ14" i="3"/>
  <c r="EX14"/>
  <c r="H11" i="21"/>
  <c r="FE14" i="3"/>
  <c r="I11" i="21"/>
  <c r="EJ14" i="3"/>
  <c r="G11" i="21"/>
  <c r="EX27" i="3"/>
  <c r="FL27"/>
  <c r="FS27"/>
  <c r="EQ27"/>
  <c r="FZ27"/>
  <c r="EC27"/>
  <c r="EJ27"/>
  <c r="FE27"/>
  <c r="FE12"/>
  <c r="I9" i="21"/>
  <c r="FS12" i="3"/>
  <c r="C9" i="21"/>
  <c r="EJ12" i="3"/>
  <c r="G9" i="21"/>
  <c r="EQ12" i="3"/>
  <c r="FL12"/>
  <c r="D9" i="21"/>
  <c r="EX12" i="3"/>
  <c r="H9" i="21"/>
  <c r="EC12" i="3"/>
  <c r="F9" i="21"/>
  <c r="EJ13" i="3"/>
  <c r="G10" i="21"/>
  <c r="EC13" i="3"/>
  <c r="F10" i="21"/>
  <c r="FL13" i="3"/>
  <c r="D10" i="21"/>
  <c r="EQ13" i="3"/>
  <c r="FE13"/>
  <c r="I10" i="21"/>
  <c r="EX13" i="3"/>
  <c r="H10" i="21"/>
  <c r="FS13" i="3"/>
  <c r="C10" i="21"/>
  <c r="K12" i="28"/>
  <c r="D12" i="19"/>
  <c r="K7" i="28"/>
  <c r="D7" i="19"/>
  <c r="EC15" i="22"/>
  <c r="EJ15"/>
  <c r="FS15"/>
  <c r="FL15"/>
  <c r="EX15"/>
  <c r="EQ15"/>
  <c r="FE15"/>
  <c r="EQ10"/>
  <c r="EJ10"/>
  <c r="FL10"/>
  <c r="EC10"/>
  <c r="FS10"/>
  <c r="EX10"/>
  <c r="FE10"/>
  <c r="EX16"/>
  <c r="EQ16"/>
  <c r="FE16"/>
  <c r="FS16"/>
  <c r="FL16"/>
  <c r="EJ16"/>
  <c r="EC16"/>
  <c r="EC9"/>
  <c r="EJ9"/>
  <c r="EQ9"/>
  <c r="FS9"/>
  <c r="FL9"/>
  <c r="EX9"/>
  <c r="FE9"/>
  <c r="EC8"/>
  <c r="EX8"/>
  <c r="FS8"/>
  <c r="FL8"/>
  <c r="FE8"/>
  <c r="EQ8"/>
  <c r="EJ8"/>
  <c r="EJ17"/>
  <c r="EJ18"/>
  <c r="EJ20"/>
  <c r="FZ22"/>
  <c r="EC20"/>
  <c r="EX20"/>
  <c r="FL20"/>
  <c r="EQ20"/>
  <c r="FE20"/>
  <c r="FS20"/>
  <c r="FE18"/>
  <c r="EQ18"/>
  <c r="EX18"/>
  <c r="FZ20"/>
  <c r="EC18"/>
  <c r="FS18"/>
  <c r="FL18"/>
  <c r="FZ18"/>
  <c r="EX17"/>
  <c r="EQ17"/>
  <c r="FE17"/>
  <c r="EC17"/>
  <c r="FZ8"/>
  <c r="FS17"/>
  <c r="FL17"/>
  <c r="FZ17"/>
  <c r="C9" i="19"/>
  <c r="L9" i="28"/>
  <c r="C9" i="26"/>
  <c r="K21" i="28"/>
  <c r="D21" i="19"/>
  <c r="C4"/>
  <c r="C4" i="26"/>
  <c r="L4" i="28"/>
  <c r="FL9" i="3"/>
  <c r="D6" i="21"/>
  <c r="EJ9" i="3"/>
  <c r="G6" i="21"/>
  <c r="EQ9" i="3"/>
  <c r="EX9"/>
  <c r="H6" i="21"/>
  <c r="EC9" i="3"/>
  <c r="F6" i="21"/>
  <c r="FE9" i="3"/>
  <c r="I6" i="21"/>
  <c r="FS9" i="3"/>
  <c r="C6" i="21"/>
  <c r="FS17" i="3"/>
  <c r="C14" i="21"/>
  <c r="EX17" i="3"/>
  <c r="H14" i="21"/>
  <c r="FL17" i="3"/>
  <c r="D14" i="21"/>
  <c r="EC17" i="3"/>
  <c r="F14" i="21"/>
  <c r="EJ17" i="3"/>
  <c r="G14" i="21"/>
  <c r="FE17" i="3"/>
  <c r="I14" i="21"/>
  <c r="EQ17" i="3"/>
  <c r="EQ25"/>
  <c r="EC25"/>
  <c r="FE25"/>
  <c r="FL25"/>
  <c r="FS25"/>
  <c r="FZ25"/>
  <c r="EJ25"/>
  <c r="EX25"/>
  <c r="FS16"/>
  <c r="C13" i="21"/>
  <c r="EX16" i="3"/>
  <c r="H13" i="21"/>
  <c r="EC16" i="3"/>
  <c r="F13" i="21"/>
  <c r="FL16" i="3"/>
  <c r="D13" i="21"/>
  <c r="EJ16" i="3"/>
  <c r="G13" i="21"/>
  <c r="FE16" i="3"/>
  <c r="I13" i="21"/>
  <c r="EQ16" i="3"/>
  <c r="EJ15"/>
  <c r="G12" i="21"/>
  <c r="EQ15" i="3"/>
  <c r="FE15"/>
  <c r="I12" i="21"/>
  <c r="EX15" i="3"/>
  <c r="H12" i="21"/>
  <c r="FL15" i="3"/>
  <c r="D12" i="21"/>
  <c r="FS15" i="3"/>
  <c r="C12" i="21"/>
  <c r="EC15" i="3"/>
  <c r="F12" i="21"/>
  <c r="EX19" i="3"/>
  <c r="H16" i="21"/>
  <c r="EC19" i="3"/>
  <c r="F16" i="21"/>
  <c r="FL19" i="3"/>
  <c r="D16" i="21"/>
  <c r="FE19" i="3"/>
  <c r="I16" i="21"/>
  <c r="FS19" i="3"/>
  <c r="C16" i="21"/>
  <c r="EJ19" i="3"/>
  <c r="G16" i="21"/>
  <c r="EQ19" i="3"/>
  <c r="FS18"/>
  <c r="C15" i="21"/>
  <c r="EX18" i="3"/>
  <c r="H15" i="21"/>
  <c r="FL18" i="3"/>
  <c r="D15" i="21"/>
  <c r="EJ18" i="3"/>
  <c r="G15" i="21"/>
  <c r="FE18" i="3"/>
  <c r="I15" i="21"/>
  <c r="EC18" i="3"/>
  <c r="F15" i="21"/>
  <c r="EQ18" i="3"/>
  <c r="EX24"/>
  <c r="EJ24"/>
  <c r="EC24"/>
  <c r="FZ24"/>
  <c r="FL24"/>
  <c r="EQ24"/>
  <c r="FE24"/>
  <c r="FS24"/>
  <c r="EC11"/>
  <c r="F8" i="21"/>
  <c r="EX11" i="3"/>
  <c r="H8" i="21"/>
  <c r="FE11" i="3"/>
  <c r="I8" i="21"/>
  <c r="FS11" i="3"/>
  <c r="C8" i="21"/>
  <c r="FL11" i="3"/>
  <c r="D8" i="21"/>
  <c r="EJ11" i="3"/>
  <c r="G8" i="21"/>
  <c r="EQ11" i="3"/>
  <c r="EJ10"/>
  <c r="FZ11"/>
  <c r="G7" i="21"/>
  <c r="EX10" i="3"/>
  <c r="H7" i="21"/>
  <c r="FS10" i="3"/>
  <c r="C7" i="21"/>
  <c r="FL10" i="3"/>
  <c r="D7" i="21"/>
  <c r="EC10" i="3"/>
  <c r="F7" i="21"/>
  <c r="FE10" i="3"/>
  <c r="I7" i="21"/>
  <c r="EQ10" i="3"/>
  <c r="FZ10"/>
  <c r="C12" i="19"/>
  <c r="C12" i="26"/>
  <c r="L12" i="28"/>
  <c r="L7"/>
  <c r="C7" i="26"/>
  <c r="C7" i="19"/>
  <c r="FZ10" i="22"/>
  <c r="FZ15"/>
  <c r="FZ13" i="3"/>
  <c r="FZ12"/>
  <c r="FZ14"/>
  <c r="FZ20"/>
  <c r="FZ21"/>
  <c r="FZ22"/>
  <c r="FZ8"/>
  <c r="FZ18"/>
  <c r="FZ19"/>
  <c r="FZ15"/>
  <c r="FZ16"/>
  <c r="FZ17"/>
  <c r="FZ9"/>
  <c r="FZ9" i="22"/>
  <c r="FZ16"/>
  <c r="FZ11"/>
  <c r="FZ19"/>
  <c r="FZ12"/>
  <c r="FZ21"/>
  <c r="FZ13"/>
  <c r="FZ14"/>
</calcChain>
</file>

<file path=xl/sharedStrings.xml><?xml version="1.0" encoding="utf-8"?>
<sst xmlns="http://schemas.openxmlformats.org/spreadsheetml/2006/main" count="1038" uniqueCount="684">
  <si>
    <t>Though IAS are in principle obligatory for banks and finance companies as regulated corporate entities, IFRSs are optional for both listed and unlisted companies. However, a 2006 IFC study found that "Paraguay has an incomplete, fragmented, and loosely enforced statutory framework for accounting and auditing." It also found that "within the supervised sector, the quality of standard setting, compliance with standards, and supervision of compliance is uneven and the regulation in place is fragmented." Most corporate entities resort to tax reporting norms (which are laxer) rather than IAS. As non-regulated institutions, credit unions and NGOs are not bound by any standards or enforcement mechanisms, and have uneven practices. (IFC, Report on the Observance of Standards and Codes in Paraguay, June 1st 2006; Deloitte/IASPLUS; Inter-American Accounting Association; personal interviews, August 2008, August 2007).</t>
  </si>
  <si>
    <t xml:space="preserve">IAS were adopted by Peru economy-wide in the late 1990s, and IFRS are required for all listed firms. With enforcement in the hands of SBS, IAS are generally in use in regulated financial entities. The SBS has developed detailed accounting standards for financial institutions for both regulatory and general-purpose financial reporting; though they are generally in line with international standards, a few of the standards adopted for the latter purposes are out of line with IFRS. In non-regulated institutions, accounting standards are subject to considerable self-regulation and dissemination of best practices via voluntary NGO microcredit associations and cooperative federations; in practice, standards vary somewhat across such institutions. (Deloitte/IAS Plus; Procapitales; CONASEV; IFC, Report on the Observances of Standards and Codes, June 2004; Personal interviews, August 2008, August 2007). </t>
  </si>
  <si>
    <t>By law, all Uruguayan companies (including SAs) must follow IFRS existing as of May 19th 2004; adherence to subsequent modifications to IFRS is not required. The (internal) auditor's report refers to conformity with Uruguayan GAAP, which is similar to IAS.  However, the country lacks a unified accounting methodology (plan unificado de cuentas) and external auditing is not required.  Non-regulated institutions (cooperatives and NGOs) have much more uneven practices as they are not subject to such norms.  (IAS PLUS/Deloitte; EIU, Country Commerce, April 2008, April 2007).</t>
  </si>
  <si>
    <t>The transition to multiparty democracy is relatively recent. The one-party rule of the Partido Revolucionario Institucional (PRI) ended peacefully in 2000 with the election of President Vicente Fox of the Partido Acción Nacional (PAN). But while the transition from excessive executive authority to a more effective separation of powers will be beneficial for democracy in the long term, adapting to this shift will be a slow process. In the meantime, the agility of policymaking will be impaired. Also of concern is lack of public confidence in political institutions, as shown by doubts about the voting process since the 2006 presidential election. The intransigent stance taken by the losing presidential candidate, Andres Manuel Lopez Obrador, lost him support among moderate voters, but there is still a risk that hard-core supporters of the PRD leader will become more radical in their opposition to the government, particularly when controversial reforms are presented. (EIU Risk Briefing, August 2008)</t>
  </si>
  <si>
    <t>Political stability is secure despite the country's tumultuous past. Almost two decades have passed since the US overthrew General Manuel Noriega's military regime, and democracy is firmly established. The centrist nature of politics in Panama, with widespread consensus among the main political parties on the importance of preserving Panama's attractive operating environment for foreign businesses, reduces the risks associated with changes of government. The ruling Partido Revolucionario Democrático (PRD), which used an electoral alliance with the business-friendly Partido Popular (PP) in the 2004 elections to enhance its credentials among the business community, has benefited from overseeing a period of strong economic growth and optimism surrounding projects like the expansion of the Canal. This, coupled with a strong majority, has helped it move ahead with an ambitious reform agenda, and enhances the PRD's chances of scoring the historical precedent of a second consecutive term in the 2009 elections. (EIU Risk Briefing, August 2008)</t>
  </si>
  <si>
    <t>President Daniel Ortega whose party controls just 38 out 92 deputies in the National Assembly faces a strengthening opposition in the legislature and in the municipal elections that will take place in November 2008. The opposition, increasingly bolstered by deputies from the centre-right PLC with whom the FSLN has had an informal cooperation agreement, will complicate governability. This will slow legislative activity and policy implementation. Progress on judicial and political reforms will be very slow. Political institutions will remain corrupt and weak. (EIU Risk Briefing, July 2008)</t>
  </si>
  <si>
    <t>A recent change of leadership in the Sudeban has resulted in a reconsideration of the previous opening to licence new greenfield banks focused on what was broadly termed microfinance; a dozen applications are pending and now appear frozen.  It seems likely no more licences will be granted in the foreseeable future. Some existing banks have created separate microfinance entities, often for a mixture of commercial and political reasons. However, these regulated entities face high tax rates, and this together with competition from subsidised public institutions and interest rate restrictions are reasons why portfolios remain limited and the number of institutions active in the sector remains relatively small. (Personal interviews, August 2008, August 2007).</t>
  </si>
  <si>
    <t>Administratively, it is not easy to form an NGO, which can take up to one year. Each province has its own authority which registers NGOs.  While NGOs can set market interest rates, they face subsidised competition in the form of second-tier public loans to competitors that required fixed interest rates (6% currently). NGOs have difficulties in accessing public or commercial funding.  Although NGOs are exempt from value-added tax—which SAs, the other type of regulated institution, do face—their credit operations are taxed, as they in effect must transfer the VAT to the customer or make provisions for this expense. Both categories of non-regulated institutions also face a 30% withholding tax (encaje) for one year on funds received from abroad (with exemptions for foundations and civil associations—NGOs—that are primarily engaged in microcredit and whose average external credits are two years or more in length). (Curat et al, 2007; personal interviews, August 2008, August 2007).</t>
  </si>
  <si>
    <t>Colombia has one of the largest non-regulated MFI sectors in the region. The one significant hurdle is that non-regulated institutions face a 40% withholding tax (encaje) on external loans for 180 days. NGOs face no significant regulatory barriers in forming and becoming active in microcredit, though they are also subject to usury rates. Pursuant to the Civil Code and Decree 1529/90, NGOs register as non-profit associations with the respective Chamber of Commerce and territorial government (departamento). Sources of funding including international philanthropy, socially responsible investment, and even—if standards are sufficiently high—local bank loans and bond issues. Several specific types of non-finance cooperatives also operate on a non-regulated basis: full-service cooperatives with a savings and credit section, multipurpose cooperatives with a savings and credit section, and specialised savings and credit cooperatives. Like regulated finance co-ops, they register with the Chamber of Commerce, but unlike them they are licensed by the Superintendency of Mutualistic and Cooperative Societies, a non-financial governmental entity. (Personal interviews, August 2008, August 2007; Microfinance Gateway; Curat et al, 2007).</t>
  </si>
  <si>
    <t>It is fairly easy to form an NGO and operate in microfinance; eleven of the twelve Costa Rican MFIs listed in MIX Market are NGOs. However, NGOs tend to be small and undercapitalised, and they lack access to international cooperation given the country's more developed status or to much in the way of public second-tier funding tailored to them.   They are subject to the same taxes as regulated institutions. (Personal interviews, August 2008)</t>
  </si>
  <si>
    <t>Economy-wide, laws passed in 2000-02 for traded corporate entities (sociedades anónimas abiertas) strengthened minority rights, allowed for formation of audit committees, strengthened management responsibility for ensuring fair market prices for transactions, set limits for stock options and purchase of own shares, and established other corporative governance norms. There have been periodic discussions of a national corporate governance code that would encompass non-listed firms as well, but no concrete action. The current and previous governments have sought to strengthen minority rights further, but much remains to be done particularly with respect to non-listed firms, where the issue in practice is dealt with through shareholder agreements. Institutions regulated by the SBIF have higher and more uniform governance standards than non-regulated institutions. Chile scores above the regional average on the World Bank's Doing Business (2008) Investor Protection Index.   The governance of cooperatives, including members' voting rights, is regulated by the Cooperatives Law and overseen by the Department of Cooperatives.(EIU, Country Commerce, January 2008; Personal interviews, August 2008, August 2007; Padilla and Gillet, 2001).</t>
  </si>
  <si>
    <t xml:space="preserve">The Superintendency has improved its general financial regulation and supervision. After intervening in or closing several insolvent banks in the early 2000s under international pressure, the Superintendency has tightened accounting rules, strengthened loan provisioning standards and beefed up its inspection regime. It pushed domestic banks to adopt US best-practice accounting rules for asset valuation when making loans and to adhere to tighter rules for loan provisioning. However, it has only a modest degree of specialised capacity or expertise in regulating microfinance. (EIU, Country Finance, February 2008; Microfinance Gateway; Personal interviews, August 2008, August 2007) </t>
  </si>
  <si>
    <t>Poor banking regulation has brought several banking crises since the deregulation of the sector in 1991. Regulation has improved modestly, but banks remain reluctant to lend. With technical assistance from multilateral agencies, the Banking Superintendency has developed in recent years a small group of staff with specialised knowledge of the sector within its oversight office for non-banking institutions. There is no special microfinance office or department per se. Supervisory capacity, including development of appropriate methodologies for evaluating microcredit, is modest but improving. (EIU, Risk Briefing, July 2008; Personal interviews, August 2008, August 2007).</t>
  </si>
  <si>
    <t>There is practically no specialised knowledge or development of methodologies on the part of the Central Bank, the main financial regulatory.  However, the Office of Planning and Budgeting (OPP) of the Ministry of Finance, which is responsible for overseeing international loans and cooperation, has sought to promote access to funding for microfinance. (Personal interviews, August 2008, September 2007).</t>
  </si>
  <si>
    <t>The judiciary is inefficient and politicised, which means that contractual agreements are often not respected and the protection of property rights is not guaranteed. Efforts to make the judicial system more effective will be constrained by the lack of political will and weak institutional capacity. The system is also extremely slow. The time required to prosecute and pass judgement on a case can be many years. The regulatory system remains opaque, despite some advances in transparency in recent years. Private property rights are respected, and intellectual property protection should improve under the terms of the Dominican Republic-Central America Free-Trade Agreement (DR-CAFTA) with the US. Company accounts are frequently unreliable. (EIU Risk Briefing, July 2008)</t>
  </si>
  <si>
    <t>Haiti has a rudimentary banking sector, reflecting low levels of income and savings and the small number of people involved in the formal economy. The Banque de la République d'Haïti is the central bank. There are five locally incorporated banks (Unibank, Banque de l'Union Haitienne, Sogebank, Capital Bank and the very small Banque Industrielle et Commerciale d'Haiti), as well as two foreign banks (Bank of Nova Scotia and Citibank). There are also two state banks (Banque Populaire Haitienne and Banque Nationale de Credit), a private development finance institution (SOFHIDES) and two mortgage banks (Sogebel and SOCABEL). Haiti’s financial system plays a limited role in supporting economic growth, reflecting a broad range of development challenges, including significant weaknesses in the legal and institutional frameworks, the fragile security situation, limited competition among banks, poor governance and high reserve requirement ratios. The result has been low credit growth and limited access to credit. The sector is highly concentrated, with nearly 80% of bank assets being held by the three largest banks, and 10% of individual borrowers receiving approximately 80% of total loans. Half of total credit is extended to commerce and services activities, whereas agriculture and transport receive less than 1%.  (EIU Country Profile, August 2008)</t>
  </si>
  <si>
    <t>Regulations for banks and finance companies require governance procedures, external audits, and  prohibitions on white-collar crimes and insider trading.  According to World Bank Doing Business (2008), Panama has a score of 4.7 out of 10 on the Investor Protection Index, compared with a regional average of 5.1 However, standards are more uneven, and often problematic, at NGOs and credit unions. (EIU, Country Finance, February 2008; Personal interviews, August 2008)</t>
  </si>
  <si>
    <t>The political environment is stable. The rules governing transfer of political powers are clearly established and accepted, and will continue to operate smoothly. The governing Concertación coalition retained the presidency in January 2006, and will remain in power for a four-year term. Internal debate within the two main political coalitions has always been vigorous, but dissent within the ruling Concertación has begun what is probably a long term to a shift in the political make-up of the country. If such a change does fully happen, it would not herald a change in governability or policy direction, but in the relative composition of the main coalitions. The armed forces are subject to the democratic authorities, and a coup attempt is very unlikely. Labour organisations have been strengthened as a result of labour reforms, and rising inflation lifts the risk of industrial unrest. International relations are peaceful, although relations with Bolivia, Argentina and Peru have been strained recently. (EIU Risk Briefing, June 2008)</t>
  </si>
  <si>
    <t>Since the late 1980s the SBEF has pursued a gradual market-based approach to building an MFI sector, based on considerable technical expertise and professionalism, setting of high and transparent standards, and development and refinement of advanced methodologies for evaluating solvency and risk management that are appropriate to particular types of lending institutions, borrowers and services. Activity-specific, rather than institution-specific, provisioning requirements (by type of borrower and loan status) create a flexible and nimble framework. The SBEF's Administration for Non-Banking Entities (IENB) has developed field inspection and supervision policies customised for microfinance (including for the BancoSol, which is technically a bank but is also under its supervision). The SBEF has a subdepartment for microfinance and specific reporting requirements for microfinance. Bolivia is widely considered a model of successful, innovative regulation and supervision. However, there are some worrisome signs, as a large cut in public sector salaries has begun to lead to the exodus of many highly trained specialists from the SBEF and IENB. (Meagher et al, 2006; Microfinance Gateway; de Janvry et al, 2003; personal interviews, August 2008, August 2007).</t>
  </si>
  <si>
    <t>NGOs are among the most numerous (though not largest) microfinance providers. It is not difficult to open an NGO or a microcredit operation in regulatory and legal terms  Pursuant to the NGO Law, the sector-specific ministry is in charge of regulating the operations of the NGO. In the case of microcredit-specific NGOs, it is the Ministry of Finance.  The Office of Attorney General is in charge of regulating the incorporation of NGOs. Practical limits exist in terms of NGO growth given the prohibition on capturing public deposits and reliance upon external funding. (Personal interviews, August 2008, August 2007).</t>
  </si>
  <si>
    <t>Numerous NGOs (including foundations and community and solidarity banks) operate in microcredit; MIX Market alone lists 15. Other non-regulated institutions providing microfinance are savings and credit cooperatives under the supervisions of the Social Welfare Ministry, private informal lenders, and popular organisations that provide savings and credit services for their members. Yet NGOs face problems in terms of scale and capitalisation, and increasing difficulties in competing with banks and regulated institutions.  Some are considering upgrading as result, as are some non-regulated credit unions; they will first have to meet certain reporting, provisioning, risk management, and minimum capital requirements, however. (Personal interviews, August 2008, August 2007).</t>
  </si>
  <si>
    <t>NGOs face no significant legal or regulatory restrictions in forming and operating. Fundraising can in practice be an issue, though there is a second-tier public institution that on-lends to non-regulated MFIs. (Personal interviews, August 2008, August 2007; Microfinance Gateway).</t>
  </si>
  <si>
    <t>Specialised capacity has increased somewhat in recent years. In June 2004 the Monetary Council passed Resolution JM–64–2004, which introduced significant changes in the way a bank’s risk exposure is calculated. In classifying, evaluating and calculating reserves, the legislation separates big business creditors from smaller creditors (micro-credit, consumer loans, mortgages and other business loans), in order to enable a more rigorous analysis of the most substantive part of a bank’s credit portfolio. The Mexican commercial bank, Banco Azteca, was given authorisation in February 2006 to operate in Guatemala, specialising in micro credit for the low-income population with minimal credit backing; the bank began operations in early 2007. Despite such developments, specialised supervisory and regulatory capacity remains weak in the absence of a law on microfinance that would require the SB to develop such capacity. State support for microfinance activities through second-tier institutions is sorely lacking. General financial sector supervision and regulation has improved somewhat in recent years, but remains suspect. EIU, Country Finance, December 2007; Personal interviews, August 2008, August 2007)</t>
  </si>
  <si>
    <t>Regulation and supervision of the financial sector in general have improved, as has risk management, and prudential indicators are positive: the non-performing loan rate was 2.3% at end-2007. But there is very little in the way of specialised capacity, personnel, or regulatory structure to deal with microfinance. (Personal interview, August 2008; EIU, Risk Briefing, May 2008)</t>
  </si>
  <si>
    <t>Accounting norms among regulated institutions approximate IAS, and IFRS are required for all listed and unlisted companies. There is great variety and unevenness in the accounting practices of NGOs and cooperatives.  (Personal interviews, August 2008; Deloitte/IAS plus)</t>
  </si>
  <si>
    <t>The fragmentation of political forces in the unicameral legislature hampers governability. Álvaro Colom of the Unidad Nacional de la Esperanza (UNE) won the November 2007 presidential run-off elections, beating Otto Pérez Molina of the right-wing Partido Patriota and becoming the country's first left-of-centre president since the peace accords of 1996. However, he does not command a working majority in Congress, and therefore needs to build and maintain an unwieldy coalition from a fragmented party spectrum, which will weigh on governability throughout his four-year term, impeding reforms. Soaring violent crime rates and widespread corruption will continue to test the authorities. Dealing with pressure groups will become increasingly problematic and could spark unrest. (EIU Risk Briefing, June 2008)</t>
  </si>
  <si>
    <t>Haiti is a country chronically prone to political instability and sudden political changes. The government has been paralysed from April to August of 2008, when the then Prime Minister Jacques Edouard Alexis was ousted by the congress. The congress since rejected two nominations for a replacement Prime Minister, finally settling on the third proposition, Michele Pierre-Edouard, at end-July. Pierre-Edouard formed a preliminary cabinet in the last week of August, which was still waiting for final approval at the time of writing. Widespread social unrest due to rising food and fuel costs since late 2007 is likely to continue due to Haiti's import-dependent economy and the large segment of the population living on $2 a day or less. (EIU Country Profile, August 2008)</t>
  </si>
  <si>
    <t>It is nearly impossible to form and operate NGOs in microfinance, in part due to the lack of availability of international financing for such activities in Venezuela. The government also fills directly some of the most logical niches for such organisations. Consequently, there is practically no NGO activity in microfinance. (Personal interview, August 2007).</t>
  </si>
  <si>
    <t xml:space="preserve">Legal and regulatory risk is constrained by an inefficient judiciary. A complex bureaucracy causes substantial delays in most legal procedures. In recent years, governments have taken steps to modernise the judicial system and curb widespread corruption. Six of nine Supreme Court judges were removed or resigned. Legal codes were reformed, leading to changes, such as the establishment of oral arguments and more modern investigations. However, these efforts will continue to be partly offset by remaining problems such as understaffed courts, lack of proper training and political patronage. Protection of intellectual property rights is poor. The risk of private property expropriation remains low, but is likely to increase in the outlook period as Mr Lugo carries out his plans for a far-reaching land reform. There is no legal discrimination against foreign companies, but regulation of unfair competitive practices remains weak. Regulatory agencies for most sectors are still being established.(EIU Risk Briefing, July 2008) </t>
  </si>
  <si>
    <t>Judicial corruption was endemic under the Fujimori regime, and efforts to clean up the system will take years, with the judiciary the least trusted of all public institutions. Although the legal system is less politicised now, domestic courts still lack impartiality and strength. A judicial reform commission was set up in 2004 but its recommendations have largely been ignored. Many judges are open to bribery, the justice system is ineffective and increases in spending have brought little result because money has been absorbed by the bureaucracy and in higher salaries. Litigation to recover debts can cost up to half the amount being contested, leading businesses to prefer trusted suppliers and customers, and discouraging competition. Decentralisation should lift transparency and accountability in the political process. Despite solid legislation, intellectual property rights are still violated, due to under-policing. (EIU Risk Briefing, July 2008)</t>
  </si>
  <si>
    <t>Uruguay's judiciary is independent, but the trial process is slow and decisions are often opaque. Regulatory risk is high because productive activity is heavily influenced by large state-owned institutions with substantial sway over regulatory policy. The practice whereby regulators sometimes give domestic companies preference over foreign ones will probably continue. Intellectual property rights are recognised, but weakly enforced. The level of political influence over the judiciary came into focus in early 2008 when the Supreme Court ruled that the introduction of an income tax on pensioners (carried out in 2007) was unconstitutional. Parts of the FA appeared to put pressure on the Supreme Court to reverse its decision, potentially harming Uruguay's reputation for juridical independence. So far though this is an isolated incident. (EIU Risk Briefing, June 2008)</t>
  </si>
  <si>
    <t>The legal and regulatory system is weak and deteriorating, with an inefficient judiciary, an unstable regulatory framework, and government encroachment on contract and property rights. Acceleration of land reform, the nationalisation of utilities and the development of "co-management" demonstrate the risks to property rights. Revision of mining, oil and utilities agreements will sustain uncertainty over contract rights. There is a risk that foreign companies will be discriminated against, or a contract will not be enforced, and in the event of a dispute, effective means of arbitration are few. Without progress on judicial reform, the court system will remain inefficient. Protection of intellectual property rights is poor, as is regulation of unfair competitive practices. Competition will be undermined by the acceleration of the state-led development model. Price controls on a broad range of goods (first imposed in 2003 as an emergency measure) will stay in place for the foreseeable future.(EIU Risk Briefing, July 2008)</t>
  </si>
  <si>
    <t>There is no specialised microfinance vehicle for greenfield or upgraded operations. Although it is possible for NGOs to upgrade, in practice their ability to meet the minimal capital, provisioning and other requirements is low. (Padilla and Gillet, 2001; personal interviews, August 2008, August 2007).</t>
  </si>
  <si>
    <t>There are no specific legal vehicles for microfinance. Specialised and regulated MFIs, whether downscaling banks or upgrading NGOs, are practically non-existent.  Upgrading is both administratively and legally difficult, given minimum capital and provisioning requirements, risk management guidelines, and the lack of a clear regulatory pathway for transformation.  There are no recent cases. (Personal interviews, August 2008)</t>
  </si>
  <si>
    <t>Although in principle it is possible, regulated greenfield NGOs have not emerged and it is difficult for NGOs to upgrade. High minimum capital requirements and the lack of specific risk categories and provisioning requirements for microfinance are among the multiple obstacles. Pending laws would address some of these obstacles, but passage is highly uncertain. Savings and credit cooperatives are regulated institutions, but they are not specialised in microfinance. They engage in a great deal in consumer lending, and for members only. (Personal interviews, August 2008, August 2007; Microfinance Gateway, 2007).</t>
  </si>
  <si>
    <t>There is no special juridical vehicle for microfinance, nor any specific rules for defining microcredit portfolios, risk provisioning, and the like. The single Jamaican MFI listed in MIX Market (Procredit) is an NBFI, so it is a least possible in theory for institutions to specialise, yet virtually none do so. (Personal interview, August 2008; Microfinance Gateway)</t>
  </si>
  <si>
    <t>Interest rate ceilings exist for NGOs, but their existence encourages the hiding of effective rates on the part of all institutions engaged in microfinance, including those that are regulated. Regulated institutions are frequently rated and audited. Both banks and non-bank financial institutions must submit annual financial statements to the Superintendency, and must have an annual shareholder meeting to discuss the audited financial statements and publish these statements in a widely circulated newspaper. Credit unions must submit annual financial reports to the Ministry of Labour, though they need not be audited; a few are externally rated. Practices are still uneven but improving across NGOs, with a majority of the 20 listed in MIX Market now externally rated.  (Personal interviews, August 2008, August 2007; Microfinance Gateway; EIU, Country Finance, February 2008; MIX Market).</t>
  </si>
  <si>
    <t>Although there is no public registry, there are two private credit bureaus that track both individuals and firms. Positive and negative data are distributed, and the bureaus collect credit information from financial institutions as well as retailers and utility providers. The bureaus are also now beginning to report information from transactions with non-regulated institutions for the first time. The World Bank's Doing Business (2008) gives Colombia a 5.0 out of a maximum 6.0 on its Credit Information Index (up from 4.0 in 2006), compared to a regional average of 3.4 and an OECD average of 4.8. Private bureau coverage is 29.9% of adults (compared to 28.3% in 2006 and a regional average of 32.1%).  (Personal interview, August 2008; Microfinance Gateway).</t>
  </si>
  <si>
    <t>Banks must undergo external ratings and audits. Credit unions must be audited, but ratings are not required and not common. NGOs are seldom rated, but some may undergo audits as a form of self-regulation or under pressure from funders. Two of the five Chilean institutions listed in MIX Market are externally rated, up from one of five a year earlier. Detailed disclosure of effective interest rates is required of all institutions engaged in lending.  (Personal interviews, August 2008, August 2007).</t>
  </si>
  <si>
    <t>CNBV is strong as a general banking regulator, having helped restore the health of banks after the financial crisis of the mid-1990s. However, it lacks sufficient specialised staff to deal with MFIs and make field visits, and its admitted incapacity for regulating and fostering microfinance led to the delegate supervision structure that builds on traditional cooperative federations for the specialised MFIs now being created (some are existing federations, some are being newly created). Although microcredit regulation advanced after the 2001 law, it is still confusing, with different rules for different institutions, a confusing array of institutions that causes many entities to work simultaneously under different juridical forms, difficulties in distinguishing consumer lending and microcredit, and several successive deadline extensions for status transformation. CNBV and BANSEFI, the transformed state bank created to oversee the upgrading of institutions and promote their activities under the 2001 law, have also experienced conflicts, most recently over the speed of authorisations. BANSEFI has favoured the more rapid approval of new entities.  One of BANSEFI’s most important tasks as a non-supervisory development bank for microfinance is linking EACPs to information technology, service points and transfer services via L@Red de la Gente. (Meagher et al, 2006; personal interviews, August 2008, August 2007).</t>
  </si>
  <si>
    <t>Mr Chavez's total control of the legislature gives him a free hand in policymaking, but the potential for political instability is rising. Public opposition to the radicalisation of government policy is becoming more widespread, reflected by the president's referendum defeat in December 2007. A sharp deterioration of the economy amid record high oil prices is also fuelling public frustrations. Given the opposition's current lack of political representation, demonstrations are a threat to stability. The decay of political institutions compounds these risks. We expect a continuation of the constitutional transfer of power, but it is not entirely impossible that some form of political crisis would bring Mr Chávez's rule to an abrupt end. Mr Chavez's often confrontational stance towards neighbouring Colombia and towards the US, which serves to channel nationalist sentiment into support for the government, will keep the potential for dispute with these countries high. However, the risk of armed conflict is low. (EIU Risk Briefing, July 2008)</t>
  </si>
  <si>
    <t>In general, Sudeban is viewed as a well-run banking regulator, and Venezuela has not suffered any banking failures since the closure of Cavendes, a small investment bank, in 2000. The General Law on Banks and Other Financial Institutions made Sudeban autonomous and gave it a guaranteed budget, which it has used to expand its staff and improve training. Sudeban is somewhat institutionally constrained, however, in that it must administer politically determined interest rate regulations, quotas for lending to microenterprises and other sectors, and other measures that sometimes distort competition.  Under a recent change of leadership at Sudeban, moreover, there is now a less favourable attitude toward expansion of microfinance, placing at risk recent modest gains in the bank's specialised capacity and procedures for microfinance regulation.  (EIU, Country Finance, July 2008; personal interviews, August 2008, August 2007).</t>
  </si>
  <si>
    <t>The governance structure of many financial institutions remains more familial than corporate. Despite the considerable progress in setting up the legal framework for financial-system reform in recent years, the regulated financial sector in general continues to have problems regarding transparency and supervision. The World Bank's Doing Business (2008) continues to give Guatemala a score of 4.0 out of a possible 10.0 on its Investor Protection Index, below both the 5.1 regional average and the 6.0 OECD average. The numerous NGOs in Guatemala have widely varying governance structures and norms. (EIU, Country Finance, December 2007; Personal interviews, August 2008, August 2007).</t>
  </si>
  <si>
    <t>Governance standards are moderately strong and transparent at banks and finance companies, but weak at OPDS and NGOs.  According to World Bank Doing Business (2008), Honduras has a score of 3.3 out of 10 on the Investor Protection Index, compared with a regional average of 5.1 (Personal interview, August 2008)</t>
  </si>
  <si>
    <t>Jamaica lacks a formal corporate governance framework, though the umbrella business organization PSOJ adopted a voluntary code in October 2005 and the stock exchange has moved to create a voluntary code for listed firms.  Some provisions related to corporate governance appear in the Companies Law, stock exchange rules, the Banking Act, and other more general regulations. Key principles still absent include term limits for directors, rotation of auditors, and accounting guidelines.  According to World Bank Doing Business (2008), Jamaica has a score of 5.3 out of 10 on the Investor Protection Index, compared with a regional average of 5.1.  Governance of non-regulated institutions is less transparent and consistent given lack of oversight and formalised norms. (Personal interview, August 2008; Caribbean Corporate Governance Forum, 2006; PSOJ website).</t>
  </si>
  <si>
    <t xml:space="preserve">Economy-wide, only minimal requirements are in place for corporations, such as holding annual meetings, publishing annual financial reports, allowing minority shareholders to call a meeting, and registering companies in the commercial registry. Beyond experience requirements for directors and CEOs, the Financial System Commission imposes no significant governance requirements for financial institutions. The World Bank's Doing Business (2008) scores El Salvador at 4.3 out of a maximum 10.0 on its Investor Protection Index (down from 4.7 a year earlier), compared to 5.1 for all of Latin America and 6.0 for the OECD.  Associations and foundations must have publicly available internal statutes, which include a description of the administering body's functions; procedures for elections; and a responsibility and accountability plan. (Microfinance Gateway; EIU, Country Commerce, July 2007; personal interviews, August 2008, August 2007) </t>
  </si>
  <si>
    <t>2008 scores ranked by year-on-year score change</t>
  </si>
  <si>
    <t>Political risk is likely to remain high in the outlook period. Although the radical left-wing president, Rafael Correa, remains popular with the public, his plans to overhaul the constitution will keep tensions with the opposition high. Policymaking is likely to shift further to the left under a new constitution, with harsher operating conditions for foreign companies in Ecuador. Strong rivalry between coastal and highland political and economic elites, and strong demands for regional autonomy, especially in Guayaquil, will also undermine stability. (EIU Risk Briefing, June 2008)</t>
  </si>
  <si>
    <t>There is a large gap between the standards followed by regulated (non-microfinance) institutions and MFIs, which are non-regulated and have laxer norms and practices.  The Buenos Aires Stock Exchange requires listed domestic companies to follow Argentine GAAP, which are similar to IAS.  The professional accounting body (Federacion Argentina de Consejos Profesionales de Ciencias Economicas) has developed a plan for implementing IFRSs for all companies whose securities are publicly traded. The plan calls for adoption of IFRSs in annual financial statements of public companies by the first quarter of 2011. Starting in the first quarter of 2010, companies would have to disclose the expected impact of IFRSs on their operating results and equity. IFRS are currently not permitted for listed or unlisted firms, and it appears that this will continue to be the case after 2011 for the latter.  Both MFIs and NGOs lack a unified accounting methodology (plan de cuentas unificado).  The only accounting rules binding NGOs are those of the tax authorities, and practices vary and are often inconsistent.  (Deloitte/IASPLUS; EIU Country Commerce, July 2008; personal interviews, August 2008, August 2007 ).</t>
  </si>
  <si>
    <t>Economy-wide, Bolivia's accounting and auditing standards are limited in scope and, on those technical areas where they exist, diverge from IFRS and International Standards of Auditing (ISA). IFRS are permitted but not required for domestic listed companies.  The IMF and other multilateral agencies are currently providing technical assistance to the government to speed the development of IAS, the professional capacity of auditors and accountants, and the use of IFRS by Bolivian companies. However, the SBEF has and enforces somewhat stricter standards among financial institutions, and there is considerable self-regulation among NGOs through voluntary associations. (Deloitte/IAS PLUS; Heritage Foundation, Index of Economic Freedom; MIF Donor Memorandum, November 2006; personal interviews, August 2008, August 2007).</t>
  </si>
  <si>
    <t>Unionised workers have taken intermittent industrial action over pay and conditions in recent years. The disparity between public- and private sector pay has formed a focus of strikes by public-sector workers. Despite new pay deals having been reached, relations with public-sector workers remain strained. High domestic fuel prices are also a focus of protest. The government faces stiff challenges in improving economic conditions and social prospects. IMF-supported economic reforms are unpopular with many, and demonstrations are likely to continue to put substantial pressure on the government to increase fiscal spending. The risk that unrest will escalate into a full-blown governability crisis is low but cannot be ruled out. Political stability will also remain threatened by high violent crime rates. (EIU Risk Briefing, July 2008)</t>
  </si>
  <si>
    <t>A general meeting of shareholders is the highest authority of a corporation (sociedad anónima), the legal status held by regulated institutions. There must be periodic meetings of the shareholders (usually at least once a year). The assembly is empowered to draft or modify the company’s charter or issue shares. Any shareholder or group of shareholders representing a minimum percentage of the capital stock may convene a shareholders’ meeting. Corporate charters must be registered in the Mercantile Register (Registro Mercantil). Government authorities may require firms to present financial statements or minutes of board meetings, but they do not do so systematically. The Superintendency has, however, strengthened information reporting and disclosure requirements for regulated institutions in recent years. According to World Bank Doing Business (2008), Nicaragua has a score of 5.0 out of 10 on the Investor Protection Index, compared with a regional average of 5.1.  Governance problems are more common in non-regulated than regulated institutions.  Awareness of the importance of independent and transparency, while growing, is still somewhat lacking. (EIU, Country Finance, February 2008; Personal interviews, August 2008, August 2007).</t>
  </si>
  <si>
    <t>Formal norms and legal enforcement are generally considered weaker than those of neighbours, particularly in minority rights. However, Paraguay is party to the voluntary corporate governance norms of Mercosur. According to World Bank Doing Business (2008), Paraguay has a score of 5.7 out of 10 on the Investor Protection Index, compared with a regional average of 5.1. (Personal interviews, August 2008, August 2007).</t>
  </si>
  <si>
    <t>External audits are required of banks and other regulated institutions.  The IMF reports that auditing practices appear to be sound and even above those of similar countries, but expresses concern that a single local auditing firm handles audits at nearly all large companies and institutions and that auditors appear to prepare financial statements instead of the firms and institutions themselves.  External ratings are not required of regulated institutions, and not common; only one of the three regulated Haitian institutions listed in MIX Market is externally rated.  All four of the non-regulated Haitian institutions listed in MIX Market are externally rated and audited, though it is doubtful how widely such practices extend to the wider universe of non-regulated MFIs. There is some regulation of interest rate disclosure for regulated institutions with positive impacts, but none for non-regulated institutions. (IMF, Haiti:  Financial System Stability Assessment, February 5th 2008; Personal interview, August 2008)</t>
  </si>
  <si>
    <t>Regulations require effective interest rate disclosure by finance companies and banks, but not by OPDS and NGOs.  Audits are required of finance companies and banks, while for OPDS audited accounts of previous years (as an NGO) must be presented and those with equity capital exceeding US $600,000 must have an internal audit facility; external audits are not mandatory for OPDS, though some undertake them. External ratings are more common at traditional regulated institutions, less common at OPDS, and infrequent at NGOs  (MIX Market; Personal interview, August 2008)</t>
  </si>
  <si>
    <t>External audits are required and external ratings common among regulated institutions.  Both practices appear to be rare among non-regulated institutions, and the one MFI listed in MIX Market is non-rated.  Interest rate disclosure is not always fully transparent, though regulated institutions face greater requirements. (Personal interview, August 2008; Microfinance Gateway)</t>
  </si>
  <si>
    <t>The lack of an alternation of power was the main feature of the political scene for the past six decades, when the Partido Colorado (PC) has governed the country uninterruptedly. The PC was nonetheless defeated by Fernando Lugo, a left-wing former priest who won the presidential election on April 20th and leads a broad and heterogeneous coalition. The process of transition of power will represent a major challenge to political stability. Although we expect the transition to be relatively smooth, Mr Lugo, who will take office in August, will struggle to maintain the unity of his coalition, which may weigh on governability. Mr Lugo's lack of a congressional working majority also represents a risk. Paraguay is involved in no major international disputes. However, diplomatic relations with Brazil will be strained as Mr Lugo presses the neighbouring country to renegotiate the treaty that regulates the Itaipu hydroelectricity project in more favorable terms to Paraguay, which was his major campaign promise. (EIU Risk Briefing, July 2008)</t>
  </si>
  <si>
    <t>Political stability risk will remain elevated throughout the forecast period. The government, which took office in July 2006, lacks a legislative majority in Congress. The ongoing trial of a former president, Alberto Fujimori (1990-2000), on corruption and murder charges is a highly divisive issue with the potential to undermine governability further. While social protest will continue to be widespread, it will remain disorganised. In comparison with unrest-prone neighbours Ecuador and Bolivia, there has been little development of organised anti-establishment social movements, and Peru's intra-regional tensions are less acute. Mr García will be helped by solid economic growth, but will face difficult decisions in the face of popular protest, particularly if the poor do not see the benefits of the country's rapid growth in the form of higher public investment and increased employment. The armed forces do not pose a threat to stability. (EIU Risk Briefing, July 2008)</t>
  </si>
  <si>
    <t>The principles of respect for private property, protection of copyright and free operation of the markets in setting prices are fairly well established in Mexico, and a consensus exists around consolidating them. Foreign companies receive the same treatment in most respects as local ones, and the danger of expropriation is negligible. Nevertheless, where disputes do arise the judicial system is extremely slow and inefficient in dealing with them, and sometimes corrupt. The government's efforts to institutionalise transparency and to reduce the scope for discretionary action involve complex challenges but slow advances are being achieved. But in the meantime, the performance of regulatory bodies is patchy largely because they tend to lack effective autonomy.  (EIU Risk Briefing, August 2008)</t>
  </si>
  <si>
    <t>The authorities recognise the importance of foreign investment for the development of the country's service sector and try to ensure even-handed treatment of foreign and domestic investors. Property rights are enshrined in law and contracts are generally enforceable in court. However, the legal system and civil service both suffer from corruption and a lack of independence, which can put outsiders at a disadvantage. Laws to combat money laundering have been tightened in response to pressure from the OECD, but Panama continues to attract criticism from the OECD for it lack of transparency. The government encourages free trade and competition. A consumer defence commission regularly initiates proceedings against companies deemed to be engaging in anti-competitive practices, although some of these get bogged down in the courts. Enforcement of intellectual property rights is inadequate. The Colón Free Zone is considered to be a major transit point for counterfeit goods. (EIU Risk Briefing, August 2008)</t>
  </si>
  <si>
    <t>The judiciary is inefficient and highly politicised, which means that contractual agreements are often not respected and the protection of property rights is limited. The Supreme Court's judges are affiliated to either the PLC or the FSLN. Supreme Court judges appoint judges to lower courts. Despite the implementation of the new criminal code at the end of 2002, the judiciary remains politicised--the judicial career law was amended in such a way by the legislature to justify the control of the FSLN and the PLC over the judiciary. Moreover, the renewal of the PLC-FSLN pact in 2005 has left the judiciary firmly under the control of the two parties. It is unlikely that the Ortega government will act to reform the judiciary. Red tape is pervasive and likely to remain a constraint on investment. (EIU Risk Briefing, July 2008)</t>
  </si>
  <si>
    <t>A crawling-peg exchange rate regime to maintain export competitiveness has been successful in keeping currency risk low. Despite consolidation and improved regulation, the financial sector remains small and inefficient and the local stock market mainly trades fixed-term government bond issues. However the lack of deep financial markets provides a cushion from the risk of sudden currency swings caused by external shocks. Since mid-2005, the Central Bank has widened the spread between the buying and selling rates of US dollars, contributing to a reduction in the level of economic dollarisation. By end-February 2008, around 81% of long-term bank private deposits were held in foreign currency, still a very high percentage but less than the 94% registered in December 2005. The monetary authority is expected to continue pursuing measures that lead to a reduction in economic dollarisation. The level of past-due loans also remains high, but decreased from 16.7% at end-2003 to 5.4% in June 2008. (EIU Risk Briefing, July 2008)</t>
  </si>
  <si>
    <t>There is no specialised vehicle, and no legal framework for microfinance in terms of risk categories, provisioning, and the like.  While there are no specific regulatory pathways for upgrading, one institution recently made the transition from finance company to bank.  (Personal interviews, August 2008)</t>
  </si>
  <si>
    <t>Upscaling has not been as widespread as in some other economies, as minimum capital, loan-loss provisioning and other standards must be met. However, in recent years PROCREDIT upgraded from a financiera (a regulated non-banking institution) to a bank; FINDESA from an NGO to a financiera to a bank; and FAMA from an NGO to a financiera. No regulations currently exist to promote specialised MFIs, though the pending microfinance law might create such a figure in the future. Financieras are still limited in the range of services they are allowed to offer, which make them less than ideal vehicles. (Microfinance Gateway; Personal interviews, August 2008, August 2007).</t>
  </si>
  <si>
    <t>The availability of investment finance has long been restricted by tight monetary policy and high lending rates. Nevertheless, the domestic capital markets are gradually deepening and competition between lenders is increasing. Even so, most local-currency loans are expensive and short-term. Subsidiaries of foreign multinational companies often rely on loans from headquarters or their foreign-based financing agents to support their local operations at lower costs. There are few restrictions on foreign firms gaining access to the Brazilian markets. The private banks are well managed, well capitalised and profitable, but heavily exposed to government paper. The equity and corporate bond markets have strengthened in the past five years and in the long term will offer alternative financing opportunities for local and foreign companies. For now, however, they remain small and relatively illiquid in comparison to major developed markets.(EIU Risk Briefing, July 2008)</t>
  </si>
  <si>
    <t>Financing is expected to continue to be made available mainly on market-based criteria, with no special restrictions applying to foreign investors. However, the availability of long-term capital, both equity and debt, will be limited by the shallowness of the domestic financial market. The banking sector is relatively healthy, and regulatory supervision has been improved in recent years. A booming economy and falling domestic interest rates fuelled strong growth in banking credit to the private sector in 2006-07. Nonetheless, non-performing loans have remained at very low levels reflecting a sharp fall in real borrowing interest rates. Dollarisation has started to decline recently. However, the still high proportion of dollar-denominated lending (mainly at private banks), at lower interest rates than those offered on local currency-denominated loans, would magnify the consequences of a maxi-devaluation, although we regard such an event as unlikely. The risk of a systemic banking crisis is small. (EIU Risk Briefing, March 2008)</t>
  </si>
  <si>
    <t>Guatemala's courts are slow and inefficient with a large backlog of cases. The system is poorly administered and frequently corrupt. Efforts to make the judicial system more effective will form part of the new government's agenda, but progress will be constrained by weak institutional capacity. Protection of intellectual property rights is improving following the tightening of legislation, but breaches remain frequent and are hard to prosecute. Most price controls have been abolished, but many goods and activities receive government subsidies. The legal code outlaws expropriation and practices that discriminate against foreigners, and is generally respected. There is no anti-trust legislation, permitting monopolies to operate in some sectors. (EIU Risk Briefing, June 2008)</t>
  </si>
  <si>
    <t>Brazil is a stable democracy. Since two decades of military rule ended in 1985, transitions between elected governments have generally been smooth. In January 2007, the president, Luiz Inacio Lula da Silva, began a second four-year term. Although influential segments within his leftist Partido dos Trabalhadores (PT) advocate a bigger role for the state, cross-party support for disciplined fiscal and monetary policies is firm. Although politicians are discredited, institutions are strong, but reforms are needed to improve effectiveness and transparency. Corruption scandals have periodically helped put political reform back on the agenda, but momentum is generally weak and far-reaching changes are not expected. Executive power is checked by a strong legislature. Brazil has a professional diplomatic corps, enjoys generally good relations with its neighbours and global trading partners, and plays a leading role in conflict resolution in the region. (EIU Risk Briefing, July 2008)</t>
  </si>
  <si>
    <t>There is substantial specialised capacity for regulation, as the activity of microfinance is regulated (with specific risk categories, credit methodologies, provisioning requirements etc) rather than specific types of institutions. In addition, the Superintendency recently approved an external rating agency specific to microfinance, and it is currently contemplating re-creating the special intendency that it formerly operating to supervise credit unions.  However, a still blurry definition of microcredit remains a problem, and there are sometimes weaknesses in the political independence and credibility of the Superintendency as a financial regulator more generally. (Microfinance Gateway; personal interviews, August 2008, August 2007).</t>
  </si>
  <si>
    <t>After political turmoil and heightened social tensions in 2002-2004, the country has regained stability under the leadership of Leonel Fernández. He won a clear victory in the May 2008 election and will serve a third, four-year term starting in August. The presidency wields extensive discretionary power and the electoral institutions are weak, impairing accountability and adding to the contestability of government actions. The need for reforms to strengthen government and electoral institutions has been widely acknowledged, but progress will be slow. The ruling PLD has a majority in Congress, but risks losing it at the mid-term May 2010 election. Despite widespread poverty, social unrest has receded amidst strong economic growth in 2006-07, but a slowdown could give rise to protests. Rising electricity prices, a crackdown on electricity theft or a removal of fuel and food subsidies could spark discontent. There is potential for social tensions arising from new waves of migration from neighbouring Haiti. (EIU Risk Briefing, June 2008)</t>
  </si>
  <si>
    <t>Economy-wide, IAS were adopted in 2003, applicable to financial statements issued from July 2004 onward. IFRS are required for all listed and unlisted corporate entities. After it intervened in and closed several banks in the early 2000s under international pressure, the Superintendency has pushed domestic banks to adopt US best-practice accounting rules for asset valuation when making loans and to adhere to tighter rules for loan provisioning and strengthened its on- and off-site inspection regime. Although neither NGOs nor credit unions are subject to these standards, self-regulation through voluntary associations such as ASOMIF and in response to international funders has made for some progress toward international norms. (IAS PLUS/Deloitte; Interamerican Accounting Association; Personal interviews, August 2008, August 2007; EIU, Country Finance, February 2008).</t>
  </si>
  <si>
    <t>The IMF terms the overall quality of financial reporting "poor," and finds that the 1980 accounting law is confusing and incompletely implemented.  While banks' accounting statements claim to be compliant with IFRS (which in principle are required for all listed and unlisted firms), this is not in fact true, says the Fund.  The goal of medium-term compliance with IFRS on the part of banks will be difficult to achieve.  The same report is critical of the management and regulation of credit unions. Accounting practices and standards at non-regulated institutions are uneven, and often distant from international standards. (IMF, Haiti:  Financial System Stability Assessment, February 5th 2008; Deloitte/IAS plus; Personal interview, August 2008)</t>
  </si>
  <si>
    <t>There are consistent accounting norms that approach IAS for finance companies and banks.  IFRS are required for all listed and unlisted companies. Accounting practices at OPDS are sub par but improving.  At NGOs, standards are inconsistent, and still deficient. (Deloitte/IAS plus; Personal interview, August 2008)</t>
  </si>
  <si>
    <t>The Institute of Chartered Accountants has been moving gradually to adopt IAS. IFRS are required for all listed and unlisted companies. Improved financial sector supervision has strengthened oversight of regulated institutions. Accounting standards tend to be weak or at best uneven at non-regulated institutions. (Deloitte/IAS PLUS; Personal interview, August 2008)</t>
  </si>
  <si>
    <t>The judiciary is mired in incompetence and corruption, partly due to inadequate pay, infrastructure and logistical support, and partly due to a deeply engrained culture of judicial decisions being influenced by the offer and acceptance of bribes. The legal code is antiquated, barely modified since Napoleon introduced it when Haiti was a French colony, and, although the constitution provides for the separation of powers, in practice, judges are not independent. Politically motivated interference in the judicial process is widespread, and the system is virtually incapable of conducting trials to persecute criminal acts. (EIU Country Profile, August 2008)</t>
  </si>
  <si>
    <t>The judicial system often shows bias, and is slow, inefficient and open to manipulation. The system for selection of high court judges was reformed in 2002 to reduce political influence--Supreme Court judges are now selected from a broad-based panel rather than political parties, but the judiciary is still open to corruption and political influence. While progress has been made on replacing judges deemed to be performing poorly, further initiatives to make the judicial system more independent and effective will be constrained by the attention policymakers must give to acute policy concerns, such as the economy, and by weak institutional capacity. The law protects intellectual and industrial property rights but is frequently ignored. Property rights are not always clearly established. The enforceability of contracts and speediness of the judicial process will remain a problem.  (EIU Risk Briefing, July 2008)</t>
  </si>
  <si>
    <t>Reaching completion point under the HIPC initiative has bolstered international reserves and the currency as it entails balance of payments support. The risk of a devaluation and debt default has therefore diminished. Borrowing costs in Nicaragua are high because the financial markets are shallow. There are few banks, most owned by local interest groups, and the quality of borrowers is poor. The cost of capital is such that foreign companies are unlikely to access the local financial market. The financial system has suffered a number of bank collapses over the past few years, including the forced intervention of one of the largest banks, Banco Nicaragüense (Banic). Bank assets are predominantly in the form of central bank paper. (EIU Risk Briefing, July 2008)</t>
  </si>
  <si>
    <t>Corporate finance is widely available, but costly. Banks' lending portfolios have strengthened since 2002, and non-performing loans had fallen to 1.3% of commercial banks' portfolio by May 2008, according to the banking regulator. However, banks remain wary of lending to small and medium-sized businesses, and will continue to remain cautious until they build up their capacity to assess credit risks. It is difficult for informal sector businesses to access bank lending. There are few restrictions on foreign-owned firms gaining access to the domestic market. The risk of a crisis in the banking system is low: the banking sector has proved resilient in the face of several shocks in recent years as supervision has strengthened and as foreign banks have become more involved. Three-quarters of all bank deposits are in the hands of four banks, and consolidation has helped to shore up the strength of the sector.(EIU Risk Briefing, July 2008)</t>
  </si>
  <si>
    <t>The government is focusing on completing the reforms of the Banco de la República Oriental del Uruguay (BROU), the state commercial bank, and the Banco Hipotecario del Uruguay (BHU), the state mortgage bank. These reforms have been held up by opposition from the bank employees union and lack of political support in parliament. The government has also divested its stake in the Nuevo Banco Commercial (NBC) and is improving the supervisory framework. Despite the progress made, confidence in the sector remains fragile and further delay to these reforms will leave the financial sector vulnerable to future shocks.(EIU Risk Briefing, June 2008)</t>
  </si>
  <si>
    <t>Notwithstanding the current boom in lending resulting from captive liquidity, government borrowing will continue to crowd out productive lending during the forecast period. Commercial bank lending to the private sector has risen in the past year, but remains low by regional standards. Even for the most creditworthy corporations long-term finance will remain hard to secure. The government will attempt to enforce the expansion of credit to certain sectors, such as agriculture. But financial intermediation is not set to develop in a sustainable fashion until confidence in macroeconomic prospects is underpinned by a track record of reform and stability. In the past, large companies have raised finance internationally but this is now more difficult, as exchange controls hamper access to foreign currency for the payment of interest and amortisation obligations. The Caracas stock exchange is small and illiquid and likely to remain a poor source of corporate finance.(EIU Risk Briefing, July 2008)</t>
  </si>
  <si>
    <t>"Traditional" NGOs that have not turned into OSCIPs or SCMs face constraints such as usury laws (including a 1% cap on monthly interest charges) and lack of access to many public funds. They undergo little official oversight and no financial supervision. (Personal interviews, July 2008, August 2007; Meagher et al, 2006)</t>
  </si>
  <si>
    <t>Of the six MFIs covered by MIX Market (2008), the sole NGO was no longer externally rated, the sole bank was, the one co-operative was not, and one of the three non-banking financial institutions was. In regulated institutions, external audits (though not necessarily ratings) and disclosure of effective rates are standard and mandatory. Among NGOs and credit unions, there are no legal requirements, practices vary and disclosure is typically weaker. (Personal interviews, August 2008, August 2007).</t>
  </si>
  <si>
    <t>At the end of each fiscal year, open SAs must publish general balance sheets and profit-and-loss statements, including allocation of earnings, in the official gazette. Closed SAs need not publish their balances unless they invoice 100,000 re-adjustable units fixed by the state-owned Uruguayan Mortgage Bank (about US$1.7m in March 2008) or have total assets exceeding 30,000 adjustable units (US$500,000). Auditing is compulsory for open SAs and optional for closed SAs. Yet a fiscal commission (or trustee, known as a sindico) conducts the internal auditing; the commission comprises three or more members, who must be compensated, need not be shareholders and must be appointed by the shareholders’ meeting. The auditing need not be done externally by a licensed auditing firm.  External ratings are not required.  In practice, external audits and ratings have been rare among SAs, as well as among other types of MFIs (NGOs and cooperatives), which have no legal requirement to understake them.  Only one Uruguyuan institution, a cooperative, is listed in MIX Market.  MFIs, as non-regulated institutions, do not face requirements to disclose effective interest rates, and in practice they tend to hide commissions and fees. (Personal interviews, August 2008, September 2007).</t>
  </si>
  <si>
    <t>Annual external ratings and audits are required for regulated institutions, and monthly financial statements must be published in newspapers. There is no obligation to advertise effective interest rates, and practices of disclosure vary by institution. (Personal interviews, August 2008 August 2007; MIX Market)</t>
  </si>
  <si>
    <t>Microfinance is mostly a "mono-product" industry. Of the nine MFIs listed in MIX Market, only two offered an additional service (fund transfer in one case, "voluntary savings" for clients with loans or other business with the institution in the other). (Personal interviews, August 2008, August 2007).</t>
  </si>
  <si>
    <t>Development and commercial banks can legally and typically do offer (in some combination) such services as loans, check-cashing, savings, insurance, time deposits, and housing loans, in part through correspondent banking. SCMs, OSCIPs and NGO MFIs are limited legally to microcredit and simple services such as check-cashing. Credit unions typically engage in accepting savings deposits and making loans (some for members only), but they are restricted from additional activities. Microinsurance is generally underdeveloped. (MIX Market; personal interviews, July 2008, August 2007; Meagher et al, 2006).</t>
  </si>
  <si>
    <t>Banks and non-banking financial institutions offer a wide range of services, including microcredit, savings, various types of insurance, and remittances.  Credit unions/cooperatives offer savings (to members and non-members) but can only loan to members. NGOs cannot offer savings, rarely offer insurance or remittances, and mostly offer only microcredit.  (Personal interviews, August 2008, August 2007; MIX Market).</t>
  </si>
  <si>
    <t>Banks involved in microfinance (whose numbers are increasing) have begun to innovate somewhat beyond savings and credit, in part helped by the fact that the Superintendency now allows them to operate non-branch "corresponsales", providing financial services (such as bill payment and fund transfer) through drugstores or other entities. The numerous NGO MFIs are mostly restricted to lending. Most of  13 NGO MFIs listed in MIX Market offer services that are limited to loans or loans and insurance.  Fund transfers are only offered by one of the Colombian NGOs listed in MIX.  (Personal interviews, August 2008, August 2007; Microfinance Gateway).</t>
  </si>
  <si>
    <t>The legal and regulatory environment is favourable to business. The judiciary is independent, and it is highly unlikely that future governments will violate this well-established provision of the Constitution. However, the problems of the slowness and complexity of the judicial process are not expected to be solved over the forecast period as this is in large part a function of the occasionally contradictory national Constitution. The right to own private property is well entrenched, with the exception of real estate, which will continue to be at risk from squatters. Foreigners are expected to continue to have virtually the same access as domestic firms to investment opportunities, but a handful of industries will remain in the hands of the public sector. There is some concern relating to the enforcement of intellectual property rights. However, this will improve in the medium term, following the passage of a reform in early 2008 connected to the DR-CAFTA.(EIU Risk Briefing, March 2008)</t>
  </si>
  <si>
    <t>The judiciary is highly politicised and bribery is a major problem. Property rights are protected by legislation but enforcement is weak. There is effectively no competition or anti-trust law enforcement. Regulators are subject to political pressure. Many sectors of the economy are monopolistic, although there are recent signs of improved competition in some sectors such as telecoms and brewing. There are practical barriers to foreign competition, and many foreign investors have received unfair treatment. Following a long-standing dispute, the government announced in May 2006 the annulment of US oil company Occidental's contract. Intellectual property protection is improving, although serious deficiencies remain. (EIU Risk Briefing, June 2008)</t>
  </si>
  <si>
    <t>The quetzal has appreciated in real terms against the US dollar since 2001, but could weaken suddenly: economic fundamentals are not particularly favourable, with only modest improvements in exports, economic growth and the terms of trade. Guatemala offers an extremely shallow market for corporate finance. Even so, financial deregulation in the early 1990s has allowed lightly regulated finance houses to flourish, increasing the availability of credit for consumers. Weak regulation allows financial groups to engage in connected lending. Non-performing loans remain high (3% in April 2008) and are under-provisioned, but they are down from a high of 15.1% in May 2002. The stock market is highly illiquid, dealing almost entirely in government debt. (EIU Risk Briefing, June 2008)</t>
  </si>
  <si>
    <t>Some 35 NGOs operate in Guatemala. Of the 17 Guatemalan MFIs evaluated by MIX Market, 16 are NGOs. It takes no more than four months and 3,000-5,000 quetzales to register an NGO. Those that receive only private funds are not subject to the supervision of the fiscal authorities. (Personal interviews, August 2008, August 2007; Real Instituto Alcano, April 15, 2004).</t>
  </si>
  <si>
    <t>NGOs, foundations, village banks and solidarity groups can all form and operate as non-regulated entities. Some even offer services beyond microcredit, though they cannot capture savings from the general public.  It is possible for them to form a separate legal entity, as the foundation FONKOZE has done with its microfinance operation.  In addition to FONKOZE, three NGO MFIs from Haiti are listed among the seven Haitian institutions in MIX Market.  (Personal interview, August 2008)</t>
  </si>
  <si>
    <t>NGOs are restricted mostly to microcredit, and do not have much access to public funding.  They have a slow rate of growth. Six of the 15 MFIs listed in MIX Market are NGOs. (Personal interview, August 2008)</t>
  </si>
  <si>
    <t>NGOs may operate in microfinance, and they are tax-exempt.  However, not many NGO MFIs exist, and they have difficulties in raising capital.  Only one Panamanian NGO is listed in MIX Market. (Personal interviews, August 2008)</t>
  </si>
  <si>
    <t>NGOs face no significant obstacles in formation and operation, though they have sought legislation that would enable them to mobilise savings from the public and become regulated financial entities. At present, they are allowed to handle remittances and engage in some types of microinsurance in addition to microlending. There are numerous small NGOs (albeit often with offices in multiple cities or locations), and a smaller number of larger ones. (Microfinance Gateway; Personal interviews, August 2008, August 2007).</t>
  </si>
  <si>
    <t>The legal framework permits NGOs to engage in microfinance as non-regulated institutions. However, with this status they cannot take deposits backed by government deposit insurance, and in practice they also face non-regulatory obstacles in raising sufficient funds in capital markets for expansion. One NGO (Fundación Paraguaya) was the country's sixth largest microcredit lender as of 2008 by portfolio and largest by number of borrowers, according to MIX Market.  Several smaller NGOs have begun or are trying to begin microlending operations. (Personal interviews, August 2008, August 2007; website of the Banking Superintendency).</t>
  </si>
  <si>
    <t>There are no restrictions on foreign investors' access to the local credit markets, but opportunities for foreign investors to finance their operations locally are limited. The reserve requirement is 12% for domestic currency deposits and 44% for dollar-denominated deposits, which contributes to a scarcity of credit and high domestic interest rates. The financial market is shallow, although deepening, and the creditworthiness of many borrowers poor, increasing the cost of capital. Most foreign companies meet their financing needs through a network of correspondent banks abroad. There have been a number of bank collapses in recent years and a period of consolidation is under way. The authorities are tightening supervision. Nevertheless, the system remains fragile and over banked, and further consolidation is likely. (EIU Risk Briefing, July 2008)</t>
  </si>
  <si>
    <t>There is no special-purpose microfinance vehicle. Some finance companies place a significant portion of their portfolio in microfinance, but still tend to operate well beyond microfinance. In principle, NGOs can upgrade to become finance companies and eventually banks, but they must the exact same requirements as those institutions. Very few (such as Finamerica) have done so among Colombia's numerous NGO-based MFIs. Costs to comply with corporate tax and regulatory burdens and non-prudential regulation are high, and the required minimum capital is restrictive. However, financial groups and foreign banks are increasingly creating specialised units to operate in microfinance within existing norms and regulations. (Microfinance Gateway; personal interviews, August 2008, August 2007).</t>
  </si>
  <si>
    <t>Based on improved information about the impact of the regulatory framework from a local informant, Chile's score for this indicator has been decreased since 2007. NGOs mostly operate in the capital, Santiago, they are very small, and their presence in microfinance has declined in recent years as international funding has dried up.  They must register with the Ministry of Justice.  None is listed in MIX Market. While they enjoy certain fiscal advantages vis-à-vis regulated institutions, and if they meet certain conditions (accounting standards, audits etc) can access state funding lines, NGOs are lacking in the capital and expertise to upgrade to regulated status, and do not have strong incentives to do so. Smaller cooperatives (with less than $150,000 in assets) find themselves in a somewhat similar situation, though they can at least capture savings (from members).  Like NGOs, they are not regulated by the SBIF; instead, smaller cooperatives are regulated but not financially supervised by the government's Department of Cooperatives .  (IDB internal project document, n.d.; personal interviews, August 2008, August 2007; Padilla and Gillet, 2001).</t>
  </si>
  <si>
    <t xml:space="preserve">Relatively strict financial disclosure requirements exist for publicly traded companies (by law, banks and financial institutions must be listed). As open corporations (sociedades anónimas abiertas), such corporate entities must disclose non-confidential information at the request of shareholders representing at least 3% of capital. Board composition and decision-making are only partially regulated. Conasev, the securities regulator, set up a voluntary code in 2002, and in 2005 for the first time companies were required to report on their compliance with it.  In September 2007, Conasev reported that during 2006 a total of 187 out of 213 firms who committed to release these reports annually had done so, and all but two of the firms submitting compliance information had also incorporated the norms into their charters as annexes, as they had agreed to do under the code.  According to World Bank Doing Business (2008), Peru has a score of 6.7 out of 10 on the Investor Protection Index, compared with a regional average of 5.1.  Among non-regulated institutions, there is wide awareness of the importance of observing good standards as a result of self-regulation through voluntary NGO associations. (IFC, Report on Observance of Standards and Codes, June 2004; EIU, Country Commerce, May 2007, May 2006; Personal interviews, August 2008, August 2007). </t>
  </si>
  <si>
    <t>One of the two banks listed in MIX Market offers savings, insurance, and fund transfer in addition to microcredit, while the other offers only savings plus microcredit. Of the four NGO institutions listed, only one offers any product beyond microcredit (savings).   (Personal interviews, August 2008, August 2007; MIX Market, 2008).</t>
  </si>
  <si>
    <t>Regulated institutions often have a modest to wide variety of other services, such as savings, insurance and fund transfer/remittances. Cooperatives primarily conduct only savings and loan operations. NGOs generally offer only microcredit. (MIX Market; personal interviews, August 2008, August 2007).</t>
  </si>
  <si>
    <t xml:space="preserve">Of the seven Haitian MFIs listed in MIX Market, four offer only microcredit, including all of the NGOs.  Three offer voluntary savings as well (restricted to those who also have loans or other transactions with the institution), and only one of the three additionally offers fund transfers/remittances.  None offers microinsurance, though new initiatives to offer such a service are now in the works at some institutions.  (MIX Market; Personal interview, August 2008) </t>
  </si>
  <si>
    <t>There is a very limited range of services, mostly restricted to microcredit.  (Personal interview, August 2008; MIX Market)</t>
  </si>
  <si>
    <t>The range of services is limited, with savings accounts offered by many regulated and a  few non-regulated institutions as the main activity other than microcredit. Only a small fraction of the 40 MFIs listed on MIX Market offer insurance or funds transfer.   The transformation of institutions by end-2008 under the 2001 law should in theory expand the range of services, as upgraded institutions would in many cases be able to move into savings (if they are not already deposit-takers) and also, with the help of BANSEFI, into fund transfer.  It remains to be seen how widespread such transformations and product expansions will be, however.  (Personal interviews, August 2008, August 2007).</t>
  </si>
  <si>
    <t>MFIs offer a modest range of services.  Remittances/fund transfers are growing, insurance is beginning to grow, and banks offer savings, while other types of institutions can and typically do offer only voluntary savings (i.e., to those who have other types of transactions with the institution).  (Personal interviews, August 2008; MIX Market)</t>
  </si>
  <si>
    <t>Regulated institutions have innovated in providing savings, checking, ATM, fund transfer, insurance, and other services. CRACs (rural credit unions) and CMACs (municipal credit unions) offer both savings and microcredit. Although not allowed to accept deposits, EDPYMEs can gain permission to offer additional services (e.g., credit cards) by increasing their minimum capital base and passing an ad hoc evaluation by the SBS, and their ability to do so (and that of CRACs and CMACS as well) will likely be enhanced by the June 2008 decree expanding access to capital markets. Non-regulated institutions are more restricted in the services they can legally and practically offer, typically being limited to just microcredit. (Ebentreich, 2005; Microfinance Gateway; Personal interviews, August 2008, August 2007; MIX Market).</t>
  </si>
  <si>
    <t>Since the majority of institutions, and most microcredit provision, is by banks or bank-related institutions, a modest range of services is sometimes offered beyond microcredit and savings, including some combination of insurance, banking cards and domestic fund transfers. The sole Venezuelan institution listed in MIX Market, Bangente, offers savings and loans only. Exchange controls make international fund transfers impossible. (Personal interviews, August 2008, August 2007; MIX Market).</t>
  </si>
  <si>
    <t>Publication of effective interest rates is not required for regulated institutions, and neither they nor NGOs commonly divulge such information. Annual external audits are required for regulated institutions, and NGOs have made increasingly strong efforts at self-regulation and transparency. Five of the 17 MFIs listed in MIX Market are externally rated, up from two of 16 a year earlier. (Personal interviews, August 2008, August 2007).</t>
  </si>
  <si>
    <t xml:space="preserve">     Score table, 2008</t>
  </si>
  <si>
    <t xml:space="preserve">     Score table, 2007</t>
  </si>
  <si>
    <t>The reduction of Mexico's external vulnerabilities in recent years has been reflected in greater currency stability. Although a modest peso depreciation is forecast by end-2008, broad stability will be underpinned by a sizeable reserves cushion, high oil prices and still-significant inflows of worker remittances. Mexican companies have increased their default risk by borrowing substantially from abroad since the start of the decade. The banking sector has recovered from its 1995-96 crisis, and is now growing rapidly, following restructuring, the entry of foreign players and the overhaul of the legal framework. But at less than 20% of GDP, bank lending to the private sector is still underdeveloped. We forecast still-firm growth of bank lending in the outlook period, with a shift in emphasis from consumer and mortgage credit to business lending, thanks to improvements in bankruptcy legislation.  (EIU Risk Briefing, August 2008)</t>
  </si>
  <si>
    <t>Dollarisation eliminates currency risk, has historically contributed to price stability and reduces the cost of credit. This, together with a well-capitalised, liquid banking system, ensures favourable financing conditions. A liberal banking regime and the long-established use of the dollar have contributed to the development of fully integrated financial system serving both on-shore and off-shore markets. Relative to the size of the economy, the deposit base and stock of credit is the highest in the region. Turmoil in Latin America caused deposits to decline in 2001-03 but there has been a strong rebound since 2004. As well as a plentiful supply of credit for trade and investment, Panama has a long-term mortgage market. In the absence of a lender of last resort, banks, in conjunction with the banking superintendency, have responded to the challenge to put in place rigorous credit assessment procedures.(EIU Risk Briefing, August 2008)</t>
  </si>
  <si>
    <t>Democracy has been firmly in place since the military dictatorship ended in 1985, and the abuses committed during that period are being investigated. One source of friction is a reinterpretation of the amnesty law, which enables some former military commanders to be brought to trial, but there is a low risk of this provoking political instability: the armed forces are politically weak. Elections are free and fair. Years of dominance by two centre-right parties (except during military rule) ended in 2005 when the Frente Amplio (FA) coalition took office. The government will not undermine political stability, since its leadership is experienced and pragmatic, and it is pursuing a largely orthodox policy path in order to safeguard the recently restored economic stability. President Tabaré Vázquez is in a fairly good position to pass important and long-delayed structural reforms but is having to balance this against occasional opposition from radical sectors within the government coalition and from some unions. (EIU Risk Briefing, June 2008)</t>
  </si>
  <si>
    <t>Institutions regulated directly by the CNBV must be externally audited on a regular basis. Audits are also required of institutions upgrading to EACP status under the 2001 law, though it is not clear if federations subsequently will require them on a regular basis. Forty Mexican MFIs are currently listed in MIX Market, up markedly from 28 a year earlier, yet most are not externally rated.  Disclosure of effective interest rates in a limited, not particularly effective form is required of regulated institutions, and consumer protection norms do not apply at all for most categories of institutions. (Meagher et al, 2006; Microfinance Gateway; personal interviews, August 2008, August 2007).</t>
  </si>
  <si>
    <t>The Superintendency requires regulated institutions to publish annual audited financial statements; most are externally rated, though this is not a legal requirement. Some non-regulated institutions, while under no legal requirement, conduct external audits so that they can be eligible for bank loans, receive socially responsible investment, and for other motives. Of the 16 Colombian institutions listed on MIX Market (including 13 NGOs, a bank and two non-bank financial institutions), nine are externally rated (up from 6 out of 15 a year earlier). Disclosure of effective interest rates is not required, though regulated institutions must disclose nominal rates and fees. The degree to which non-regulated MFIs disclose effective rates varies in practice. (Microfinance Gateway; MIX Market; personal interviews, August 2008, August 2007).</t>
  </si>
  <si>
    <t>Regulated institutions must conduct external audits and receive external ratings.  Non-regulated institutions (NGOs and credit unions not serving the general public) do not face such requirements;  some practice audits at the urging of international or national networks or members, but a large majority of the NGOs listed in MIX Market are non-rated.  The Superintendency requires all institutions engaged in lending to publish effective rates. (Personal interviews, August 2008)</t>
  </si>
  <si>
    <t>While banking supervision and financial regulation in general are strong, the Superintendency lacks understanding of microcredit and a specific definition or legal framework. A new law effective as of 28/8/08 makes progress in the right direction, however (Personal interviews, August 2008; EIU, Country Finance, February 2008; EIU, Risk Briefing, August 2008, Superintendencia del Ministerio de Finanzas y Economia)</t>
  </si>
  <si>
    <t>ORG_RANK CHANGE</t>
  </si>
  <si>
    <t>Economy-wide, corporate governance standards are strong on paper (obligatory minority board representation, shareholder approval of share issues, shareholder decisions on dividends etc). However, they are quite weak in practice due to lax enforcement and the government's emergence as a major player on the stock market and in acquisition of majority stakes in numerous sectors. The World Bank's Doing Business survey (2008) rates the country a very low 2.7 on a scale of 10 on its Investor Protection Index, compared to a regional average of 5.1 and OECD average of 6.0. In the banking and financial sector, Sudeban enforces somewhat stricter standards. (EIU, Country Finance, July 2008; Personal interview, August 2008, August 2007).</t>
  </si>
  <si>
    <t>sign</t>
  </si>
  <si>
    <t>External audits and ratings on an annual basis are required for regulated institutions. Some NGOs are "self-regulating," under such organisations providing technical services as the Rural Financial Network (Red Financiera Rural). Such NGOs undergo external audits and in some cases external ratings, yet a majority of those listed in MIX Market do not undergo ratings.   Recently, the Superintendency approved a specialised microfinance ratings agency for operations in the country, which should assist non-regulated institutions wishing to take this step. Under new interest regulations regarding caps, disclosure requirements are stricter, though there is still room for tightening of enforcement.  (Personal interviews, August 2008, August 2007; Microfinanza, July 2006).</t>
  </si>
  <si>
    <t>Despite the high level of security risk, the political system functions adequately and the mechanism for transfers of power is well established. Mr Uribe enjoys high approval ratings, thanks to improvements in public security, an economic upturn and strong leadership. His re-election by a comfortable margin in May 2006 gave a mandate for policy continuity. Although victory for his political allies at the March 2006 congressional election supports governability, there was a mixed performance for his allies at the October 2007 local elections, increasing uncertainty over his succession in 2010 and policy continuity. A referendum to allow Mr Uribe to stand for a third term is a possibility. Human rights groups continue to express concerns over the potential for abuses in the government's democratic security strategy. Ideological differences between the Colombian, Venezuelan and Ecuadorean governments will impede efforts to coordinate measures to curb border incursions by Colombian rebels into those countries. (EIU Risk Briefing, August 2008)</t>
  </si>
  <si>
    <t>National standards are used economy-wide, with IAS used on a supplementary basis. However, among financial institutions, two sets of books are required, one following national standards (e.g., inflation accounting) for tax treatment and another following IAS for disclosure and reporting. IFRS are required for all listed companies, and from 2007 they are also required for unlisted companies. Since 1996, Sudeban requires banks to distinguish between short- and long-term investments, classify investments based on risk, readjust investments to reflect market value each month, and bolster their provisions for bad loans. Since most microfinance activities are run by banks or bank affiliates, accounting standards are thus generally solid and uniformly regulated in the microfinance sector (Deloitte/IAS PLUS; Interamerican Accounting Association; EIU, Country Finance, July 2008).</t>
  </si>
  <si>
    <t>Economy-wide, general requirements are weak to non-existent, except for in some recently privatised companies. But banking regulations include governance requirements for regulated financial institutions, including creation of audit committees, participation of directors on credit committees, regulation of activities of internal supervisors, rotation of external auditors (from an approved list published by the Superintendency), and practice of external ratings by Superintendency-recognised auditors (which are at present Fitch and Moody's). There is good awareness among regulated MFIs of the importance of observing these standards. Among non-regulated MFIs the NGO voluntary association plays an important role in promoting self-regulation and spread of best practices, and an increasing number are seeking ratings from not just specialised microfinance auditors but also commercial auditors.  (OECD, White Paper on Corporate Governance in Latin America, 2003; personal interviews, August 2008, August 2007).</t>
  </si>
  <si>
    <t>Chile uses national standards that are in line with international norms. Starting in 2009, both listed and unlisted companies must use IFRS. In January 2006 the SBIF issued detailed instructions for the adoption by banks of full IFRS, which became mandatory for all their accounts from the start of 2007. Among non-regulated institutions, those that receive funds from the state development agency CORFO are subject to stricter accounting regulation and thus have more consistent standards; standards are variable at other non-regulated institutions (IAS PLUS/Deloitte; personal interviews August 2008, August 2007; EIU, Country Finance, May 2008).</t>
  </si>
  <si>
    <t>Efforts to transition to IAS have met with continued delays and roadblocks. IFRS are not permitted for either listed or non-listed firms. Inflation-adjusted accounting for tax purposes was, however, eliminated by Law 1111 of 2006.  (Deloitte/IAS PLUS; EIU, Country Commerce, January 2008).</t>
  </si>
  <si>
    <t>The Banking Superintendency (Sudeban) supervises banks, which are the main regulated institution involved in microcredit. The General Law on Banks and Other Financial Institutions of October 1993 and the November 2001 Reform to the General Law on Banks and Other Financial Institutions are the guiding regulations. Capital-adequacy ratios for regulated financial institutions are arguably conservative, at 12%, but intended to ensure the solvency of institutions; full implementation of the Basle II Accords on capital adequacy is not expected before 2010, though opposition to Basel II has emerged within the government and puts the prospect of full implementation into question. Approximately one-third of banks’ lending portfolios must by law be directed to various sectors of the economy favoured by the government (such as small business and agriculture). Micro-businesses (broadly defined as those with up to 10 employees) must by law receive 3% of all loans made by banks; it appears that this mostly benefits small and medium-sized enterprises in practice, however. This requirement, along with a desire to remain in good standing with the regulatory and political authorities and some perception that microfinance may be becoming profitable, explains why some banks have shown increased interest in microcredit. However, interest rates are heavily regulated:  The Central Bank of Venezuela  (BCV in Spanish) ruled in March 2005 that banks could charge no more than 28% interest on any type of loan. Minimum savings-accounts rates were raised from 13% to 15% in April 2008 and minimum term-deposit rates were set at 17%, thus limiting banks' operating margins in a context of accelerating inflation (though they may still charge commissions of up to 7%). The BCV also fixed maximum interest rates on credit cards at 33% and limited banks to a maximum 3% surcharge on any overdue balances. There is substantial direct competition between regulated and non-regulated sources of microfinance, on one hand, and a variety of heavily subsidised public programmes, which are able to charge interest rates that may be as much as 6-8% lower. The recent forced purchase by the state of Banco de Venezuela from Spain's Banco Santander SA raises the prospect that its microfinance operation will further such disloyal competition. (EIU, Country Finance, July 2008; Personal interviews, August 2008, August 2007).</t>
  </si>
  <si>
    <t>Although it is possible for microcredit NGOs to upgrade into banks or non-banking financial institutions (sociedades financieras) in principle, in practice none has done in the last few years because it is costly (eg, taxes, paperwork, lost opportunities for some public funding, all depending on the precise circumstances). Around 2004, ADOPEM, the Dominican affiliate of Women's Worldwide Banking, did complete the transition to becoming a bank. (Personal interview, August 2007; Microfinance Gateway).</t>
  </si>
  <si>
    <t>NGOs have traditionally been difficult to form because of the dominance of the Mexican state. However, numerous small NGOs have come to operate in microfinance, primarily limited to microcredit (though, on a more limited basis, some can and have offered savings). NGOs exist under diverse legal forms, and one prominent MFI, Compartamos, is a former NGO that has upgraded to become a bank. NGOs are subject to some taxes that some of their regulated competitors are not. This is one incentive for them to upgrade. (Personal interview, August 2007; Meagher et al, 2006).</t>
  </si>
  <si>
    <t>Publication of effective interest rates is not required for regulated institutions, and neither they nor NGOs commonly divulge such information. Annual external audits are required for regulated institutions, and NGOs have made increasing strong efforts at self-regulation and transparency. Only two of the 16 MFIs listed in MIX Market (nearly all of them NGOs) are externally rated (FUNDEA and Genesis Empresarial). (Personal interview, August 2007).</t>
  </si>
  <si>
    <t>Banks offer services beyond microcredit, including savings, though it is sometimes difficult to assess the degree to which the poorest clients are receiving services that are targeted generally at lower-income populations. Both credit unions/cooperatives offer savings as well, as tends to be the case for this category of institutions. Fondo Esperanza, the sole MIX-listed NGO in a country universe of few and small NGOs, offers only savings. (Personal interview, August 2007).</t>
  </si>
  <si>
    <t>The few banks involved in microfinance so far have begun to innovate somewhat beyond savings and credit, in part helped by the fact that the Superintendency now allows them to operate non-branch "corresponsales", providing financial services (such as bill payment and fund transfer) through drugstores or other entities. The numerous NGO MFIs are mostly restricted to lending. Of the 13 NGO MFIs listed in MIX Market, all offer services that are limited to loans or loans plus business development services. (Personal interview, August 2007; Microfinance Gateway).</t>
  </si>
  <si>
    <t>The range of services, while it has grown somewhat, remains limited. Of the 16 Guatemalan institutions listed in MIX Market, only three offer products beyond microcredit (sometimes accompanied by business development services like consulting and training): savings in two cases, and fund transfer in the other. BANRURAL offers a wide range of services in the countryside. (Personal interview, August 2007).</t>
  </si>
  <si>
    <t>The "big two" regulated institutions—Banco ProCredit Nicaragua and Financiera Nicaragüense de Desarrollo SA (FINDESA)—have portfolios that exceed the combined portfolio of all NGOs, and they do offer a wide range services (savings, CDs, remittances, payment services etc) The numerous but small NGO segment generally only offers microcredit, as is the case with the 20 listed in MIX Market. The same is generally true of non-banking financial institutions. Credit unions take deposits and make loans, but only for their members and not always restricted to a firm size or income level that could be readily classified as microfinance. (Personal interview, August 2007).</t>
  </si>
  <si>
    <t>There is moderate competition among MFIs, with an HHI score of 1459.6, according to figures contained in a dataset supplied by Sergio Navajas and Luis Tejerina of the IDB. There is a well-developed market with considerable competition among regulated institutions, among non-regulated institutions, and between the two types of institutions. (Personal interview, August 2007).</t>
  </si>
  <si>
    <t>Due to a lack of comprehensive data, we have relied on qualitative impressions. The country has a fairly good level of penetration of microfinance, and interest rates have come down.  For consumption and working capital, the market is even saturated. Where it is underserved is in the rural sector. (Personal interview, August 2007).</t>
  </si>
  <si>
    <t>Due to a lack of comprehensive data, we have relied on qualitative impressions. El Salvador is considered to be more competitive than most of its Central American neighbours, though somewhat behind Nicaragua. (Personal interview, August 2007).</t>
  </si>
  <si>
    <t>Due to a lack of comprehensive data, we have relied on qualitative impressions. It is considered among the five most competitive markets in the Latin American region, but probably toward the lower end of that category. (Personal interview, August 2007).</t>
  </si>
  <si>
    <t>Study specific (default)</t>
  </si>
  <si>
    <t>Preferred</t>
  </si>
  <si>
    <t>NEW</t>
  </si>
  <si>
    <t>Costa Rica</t>
  </si>
  <si>
    <t>Haiti</t>
  </si>
  <si>
    <t>Honduras</t>
  </si>
  <si>
    <t>Jamaica</t>
  </si>
  <si>
    <t>Panama</t>
  </si>
  <si>
    <t>CR</t>
  </si>
  <si>
    <t>HT</t>
  </si>
  <si>
    <t>HN</t>
  </si>
  <si>
    <t>JM</t>
  </si>
  <si>
    <t>PA</t>
  </si>
  <si>
    <t>SCORES 2008</t>
  </si>
  <si>
    <t>RANK 2008</t>
  </si>
  <si>
    <t>Score 2008</t>
  </si>
  <si>
    <t>Score 2007</t>
  </si>
  <si>
    <t>Score DELTA</t>
  </si>
  <si>
    <t>Rank DELTA</t>
  </si>
  <si>
    <t>Score DELTA (text)</t>
  </si>
  <si>
    <t>YoY change</t>
  </si>
  <si>
    <t>Score DELTA (1=up, -1=down)</t>
  </si>
  <si>
    <t>Rank DELTA (text)</t>
  </si>
  <si>
    <t>Rank DELTA (1=up, -1=down)</t>
  </si>
  <si>
    <t>Change</t>
  </si>
  <si>
    <t>All data</t>
  </si>
  <si>
    <t>Exclude Highlighted</t>
  </si>
  <si>
    <t>CountryID</t>
  </si>
  <si>
    <t>X</t>
  </si>
  <si>
    <t>Y</t>
  </si>
  <si>
    <t>Tidy scatter</t>
  </si>
  <si>
    <t>Country profile:  Show score changes/deltas</t>
  </si>
  <si>
    <t>Comparator: show changes</t>
  </si>
  <si>
    <t>Remember to distinguish between new countries no change, and real no change</t>
  </si>
  <si>
    <t>CHECK THE CALCULATIONS!!!! (2007 to agree with previous, 2008 to be CORRECT!!!!)</t>
  </si>
  <si>
    <t>El Salavador - completely unchanged</t>
  </si>
  <si>
    <t>Them - update the "Guide" text.</t>
  </si>
  <si>
    <t>suggest we embed as word document</t>
  </si>
  <si>
    <t>Ranking, 2008 scores</t>
  </si>
  <si>
    <t>The Superintendency of Banks and Financial Institutions (SBIF), which functions independently from the Central Bank, is the chief regulator. Law 252 of 1960 is the primary legal instrument. The main regulated institutions operating in microfinance are state and commercial banks and non-banking financial companies (of which three large ones operate in microfinance) as well as credit unions/cooperatives (of which the country has over 2,000, are limited to members and may be for-profit or non-profit from 2003). Pursuant to usury laws, the SBIF sets an annual maximum interest rate, as well as maximum monthly rates (based on the average rates of the previous months X 1.5); there are different maximum rates for each credit segment. Only a few subsidies remain for public programmes that compete with private institutions, as public institutions (such as Banco Estado) have moved toward commercial criteria. Neither capital adequacy ratios (10%, and in transition toward Basel II norms) nor documentation requirements are burdensome. (Padilla and Gillet, 2001; personal interviews, August 2008, August 2007; EIU, Country Finance, May 2008).</t>
  </si>
  <si>
    <t>The Bank Superintendency regulates the sector under the authority of the General Banking Law of 1965, and subsequent amendments. In principle, banks, credit and savings banks, credit corporations, savings and loan associations, and savings and credit cooperatives (credit unions) can all engage in regulated microlending, though banks, such as Banco ADEMI and Banco ADOPEM, are the most important regulated actors and have been increasing their presence in microfinance. The cooperative sector, which covers more than 33% of the population, has sought the approval of a new cooperatives law, which would focus on the creation of a different supervisory body and the strengthening of the sector's prudential regulation. Capital-adequacy ratios (10% for banks, credit institutions and non-banking financial institutions) are not burdensome, nor are documentation requirements. There are no interest rate ceilings. The one public institution that engages in non-collateralised, non-regulated lending to "microenterprises" and "subsistence microenterprises," PROMYPYME (under the auspices of the Secretariat for Industry and Commerce), operates on what it claims are "strictly commercial terms"; its interest rates seem to be broadly within market norms. (Secretariat for Industry and Commerce, 2007; Personal interviews, August 2008, August 2007; Microfinance Gateway, 2008).</t>
  </si>
  <si>
    <t>The Law on Banks and Financial Groups (2002) provides the main regulatory framework, and the Superintendency of Banks (Superintendencia de Bancos—SB) is responsible for the day-to-day oversight of all financial institutions. The main regulated institutions engaged in microfinance are banks (which often have specialised microfinance units) and co-operatives/credit unions. Laws covering regulation of microfinance and microfinance associations and non-regulated financial institutions have been pending since 2002 and do not seem likely to achieve imminent legislative approval. Capital-adequacy ratios for regulated institutions (10%) are reasonable. Public programmes and institutions, which are generally lacking, do no constitute unfair competition. There are usury rates setting maximums, but they are not overly restrictive as they allow for a reasonable range of rates. Documentation requirements are reasonable. (Personal interviews, August 2008, August 2007; Microfinance Gateway, 2007; EIU, Country Finance, December 2007).</t>
  </si>
  <si>
    <t>The National Commission for Banks and Insurance Companies (CNBS in Spanish) is the main regulator.  Financial Private Development Organizations (OPDS in Spanish) are non-bank financial institutions that  are regulated MFIs; they are divided into first tier and second tier organisations, and they may not charge interest rates that are more than 3 percentage points higher than the average of the financial system.  Credit cooperatives are also regulated and engage in microfinance but restricted to members.  Finance companies (sociedades financieras) also sometimes engage in microfinance, as do a few banks, which seem poise to enter the sector in increasing numbers.  There is only a minor amount of disloyal competition from state institutions.  Interest rates are freely determined by institutions other than OPDS.   Capital-adequacy ratios and documentation requirements are not burdensome.  (Personal interview, August 2008; Microfinance Gateway)</t>
  </si>
  <si>
    <t>The Bank of Jamaica regulates banks, non-banking financial institutions, and credit unions.  Public subsidies and programmes for microcredit are very distorting. The lack of specific guidelines for defining and managing microloans poses difficulties, as mainstream financial institutions have little appetite for the risk of microfinance under existing regulations. There is also some fear on the part of banks of potential political interference on behalf of debtors should they engage in microlending. There is no usury limit on loan interest rates if the loan is made by a licensed financial institution, though unregulated institutions do face a cap. Capital adequacy requirements (10% for banks and NBFIs) and documentation requirements are not burdensome.  (Personal interview August 2008; Microfinance Gateway)</t>
  </si>
  <si>
    <t>The main regulatory authority is the Banking Superintendency and its authority stems from Chapter III of Organic Central Bank Law 489 (1995) and subsequent amendments. Obstacles are only minor, mainly in the form of some residual competition in rural and agricultural areas from state financial entities like BNF and CAH. These lenders have been restructured, along with three others, into a single second-tier funder that operates on the basis of market criteria. Banks and finance companies can charge market interest rates, and documentation requirements and capital adequacy ratios (10% for banks and finance companies) are adequate but not excessive. A half dozen finance companies have microfinance operations, and one bank does. (Personal interview, August 2008, August 2008; Berger et al, 2003; Jannson, 1997; website of the Central Bank of Paraguay).</t>
  </si>
  <si>
    <t>The umbrella regulatory framework is spelled out in the General Law of the Financial and Insurance Systems and Superintendency of Banking, Insurance, and Pension Funds-SBS (Law Nº 26702 of 2004). The SBS is the principal regulator. This framework applies to banks, a specialised institution category called EDPYMEs (see below), rural savings and loans, and municipal savings and loans, the last of which are additionally regulated under Supreme Decree No. 157-90-EF (1990). There are several commercial banks in microfinance. Aside from these, in Peru there are two other types of regulated MFIs that fall in the traditional-institution category: municipal savings and loans (cajas municipales de ahorro y crédito, or CMACs, which are deposit-taking institutions originally owned by city or provincial governments and specialising in the financing of small and micro enterprises and rural savings) and rural savings and loans (cajas rurales de ahorro y crédito, or CRACs, which are usually privately owned deposit-taking institutions specialising in the financing of small and micro enterprises in rural areas). There are no interest rate restrictions under Law 26702. There is no direct competition from subsidised public retail finance institutions (except CMACs, which have increasingly been privatised and operate according to market criteria). Documentation requirements are not burdensome. And capital-adequacy ratios (9.1% for all types of regulated institutions) are reasonable. Minimum capital requirements (US$289,000) for non-bank institutions are arguably low, though they reflect in part the fact that these institutions cannot capture savings. (Microfinance Gateway; Ebentreich, 2005; Personal interviews, August 2008, August 2007).</t>
  </si>
  <si>
    <t>The National Commission of Banks and Securities (CNBV) is the principal regulator. Commercial banks, the main financial institutions in Mexico, have shown little interest in microfinance. The relatively small number of banking licenses granted in recent years, together with strict prudential standards, have discouraged banks from "downscaling" into microfinance, with a few notable exceptions. Another disincentive for both banks and other regulated MFIs has been the growth of programmes providing directed or subsidised credit to rural areas, though such programmes have undergone significant rationalisation in recent years. Popular savings and credit cooperative societies (SCACPs) have long existed in the form of member-based cooperatives (SAPs) but were first legally recognised as part of the financial system in the 2001 Popular Savings and Credit Law. By 2008 (after several deadline extensions), they must obtain licences as EACPs (popular savings and credit entities) to offer microfinance services, especially deposit taking. The 2001 Law, which aims to rationalise regulation of the diverse institutional forms that traditionally carried out the same activities, also created space for non-member-based institutions called popular financial societies (SOFIPOs) to gain a license to provide savings and credit services to poor households. This was intended as a vehicle for NGOs and other institutions (like finance companies, or cajas de credito) to upgrade. However, the 10-person minimum for the number of owners is proving an obstacle for institutions wishing to obtain such licenses. There are several other types of regulated non-banking financial institutions, including savings and loan societies (which must be replaced by EACPs or SOFIPOs by 2008), credit unions which do not capture savings, and limited-purpose financial societies (SOFOLEs, which are not authorised to capture savings). One of the Mexican states attempted to impose interest rate caps in recent years, but the federal government forced the repeal of the measure based on exclusive national authority over financial policy. Capital-adequacy ratios (8% for banks, 8-11% for non-bank financial institutions, with higher ratios the greater the capital) are not burdensome for established institutions. Documentation requirements are not excessive. (Personal interview, August 2007; Meagher et al, 2006; Microfinance Gateway).</t>
  </si>
  <si>
    <t>Economy-wide, corporate governance standards are strong on paper (obligatory minority board representation, shareholder approval of share issues, shareholder decisions on dividends etc). However, they are quite weak in practice due to lax enforcement and the government's emergence as a major player on the stock market. The World Bank's Doing Business survey (2006) rates the country a very low 2.7 on a scale of 10 on its Investor Protection Index, compared to a regional average of 5.1 and OECD average of 6.0. It receives low scores on all three dimensions: shareholder ability to bring suits, director liability and disclosure. In the banking and financial sector, Sudeban enforces somewhat stricter standards. (EIU, Country Finance, July 2007; Personal interview, August 2007).</t>
  </si>
  <si>
    <t>There is no requirement to publish effective rates, and the practice is not common. Regular external audits (and in some cases external ratings) are required of regulated institutions; for non-regulated institutions, the pressure for external audits comes from international funders, though self-regulation through MFI networks such as RADIM is also diffusing best-practice norms. External ratings are less common among non-regulated institutions—of the seven MFIs listed in MIX Market (all SAs or NGOs), only one is externally rated. The expense of undergoing such ratings is a large obstacle for a small organisation. (Curat et al, 2007; Personal interview, August 2007).</t>
  </si>
  <si>
    <t>All regulated institutions are legally required to be externally rated and audited, while many NGOs are similarly scrutinised as a matter of practice. Effective interest rates could be more widely disseminated, however. Under the Law on Banks, reporting and disclosure requirements for regulated institutions are high, and graduated by type of institution. Banks, FFPs, mutual benefit societies, and open cooperatives/credit unions must all submit annual financial statements with an external auditor's report to SBEF; must publish financial statements twice per year in nationwide newspapers; and internal auditors must disclose any non-compliance with standards or legal provisions to shareholders, partners, associates, and the SBEF. FFPs and open cooperatives/credit unions must also provide more detailed and timely information: monthly portfolio recovery statistics; portfolio classification; anticipated payments; pending accounts; costs to recover; assets and liabilities; deferred charges; items pending charges; obligations with financial entities; and subordinated obligations. As regulated MFIs, FFPs, open cooperatives and mutual benefits societies must each submit about 500 statements annually to the SBEF. For non-regulated MFIs, legal requirements are somewhat weaker. Closed cooperatives/credit unions must provide members with access to designated financial information updated every three months, while NGOs must report, as part of their registration renewal, every three years on loan portfolio (current, late and lost) with respect to region, branch, target population and credit methodology, as well as financing, goals and objectives for past and future projects. Of the nine NGOs listed in MIX Market, seven are externally rated. (Microfinance Gateway; personal interview, August 2007)</t>
  </si>
  <si>
    <t>Among regulated institutions (banks, credit unions and SCMs) external audits and ratings are required on a regular basis. Among OSCIPs and traditional NGOs, practices vary (three of the four NGOs listed in MIX Market are rated). Effective interest rate disclosure is not required, and not common across the range of institutions. (Microfinance Gateway; Meagher et al, 2006; personal interview, August 2007).</t>
  </si>
  <si>
    <t>Banks must undergo external ratings and audits. Credit unions must be audited, but ratings are not required and not common. NGOs are seldom rated, but some may undergo audits as a form of self-regulation or under pressure from funders. Only one of the five Chilean institutions listed in MIX Market is externally rated. Effective interest rate disclosure is better among regulated institutions than among non-regulated, though there are no strict legal requirements. (Personal interview, August 2007).</t>
  </si>
  <si>
    <t>Annual external audits are required for banks and other regulated financial institutions; ratings are not required, and the one bank listed in MIX Market, Banco Ademi, has not been rated in recent years. Regulated institutions must publicise financial statements in the media and must also display interest rates, expenses and commissions applied to different transactions and the price of their financial services in all offices. NGOs do not face these requirements, and their practices on interest rate disclosure and external ratings and audits vary more widely and depend largely on the strength of self regulation and pressures from funders. Of the five NGO MFIs listed in MIX Market, two are externally rated. (Microfinance Gateway; Personal interview, August 2007).</t>
  </si>
  <si>
    <t>There is very little competition among MFIs, with an HHI score of 4165.8, according to figures contained in a dataset supplied by Sergio Navajas and Luis Tejerina of the IDB. There is reportedly good access for formal microentrepreneurs, but poor access for informal microentrepeneurs and the under- and unemployed. (Personal interview, August 2007).</t>
  </si>
  <si>
    <t>There is little competition among MFIs, with an HHI score of 2207, according to figures contained in a dataset supplied by Sergio Navajas and Luis Tejerina of the IDB.</t>
  </si>
  <si>
    <t>There is sustantial competition among MFIs, with an HHI score of 561.7, according to figures contained in a dataset supplied by Sergio Navajas and Luis Tejerina of the IDB. This is the lowest HHI score, indicating the lowest level of industry concentration, among the 15 countries in this study. Ecuadorian microfinance has had one of the highest rates of growth in recent years (even more than Bolivia and Peru). It still needs more specialisation in product supply and operators. (Personal interview, August 2007).</t>
  </si>
  <si>
    <t>There is a very low level of competition among MFIs, with an HHI score of 2962.9, according to figures contained in a dataset supplied by Sergio Navajas and Luis Tejerina of the IDB. According to an informant, competition is still in a "basic stage of formation", and "lacking in market entrants". (Personal interview, August 2007).</t>
  </si>
  <si>
    <t>There is little competition among MFIs, with an HHI score of 2417.4, according to figures contained in a dataset supplied by Sergio Navajas and Luis Tejerina of the IDB. According to an informant, competition was still low, but growing. Interest rates and costs remain high. (Personal interview, August 2007).</t>
  </si>
  <si>
    <t>There is a moderate level of competition among MFIs, with an HHI score of 1719.3, according to figures contained in a dataset supplied by Sergio Navajas and Luis Tejerina of the IDB. According to an informant, there is a moderate level of competition in the sector, with one important area for improvement being high interest rate spreads, particularly at finance companies. The level of penetration of microfinance in terms of potential clients who access it has grown from a figure in the range of 5% (or slightly less) around 2000 to about 10% (or slightly less) in 2007, by one recent estimate. (Personal interview, August 2007).</t>
  </si>
  <si>
    <t>There is considerable competition among MFIs, with an HHI score of 781.1, according to figures contained in a dataset supplied by Sergio Navajas and Luis Tejerina of the IDB. An informant noted that Peru is comparable to Bolivia. Both are among the five most competitive MFI markets in the region. There is substantial competition among and between regulated and non-regulated institutions. (Personal interview, August 2007).</t>
  </si>
  <si>
    <t>There is very little competition among MFIs, with an HHI score of 5662.5, according to figures contained in a dataset supplied by Sergio Navajas and Luis Tejerina of the IDB.</t>
  </si>
  <si>
    <t>There is very little competition among MFIs, with an HHI score of 5587.7, according to figures contained in a dataset supplied by Sergio Navajas and Luis Tejerina of the IDB. According to a local informant, the level of competition is low, though with new market entrants it may be poised for modest growth. (Personal interview, August 2007).</t>
  </si>
  <si>
    <t>Banks must submit quarterly statements, publish audited financial statements in two newspapers during the first 60 days of the year, and publish a balance sheet and provisional liquidity three times a year. They also must be annually classified by a risk-classifying agency registered in the Public Stock Exchange Registry with the Securities Commission. Savings and credit co-operatives must submit annual external audits, and publish audited financial statements in a newspaper during the first 60 days of the year, and publish a yearly balance sheet in a newspaper. Federations must have an auditing committee who reports to the Commission. Cooperative associations must submit monthly financial statements to the Salvadoran Cooperative Development Institute. SGRs must disclose their financial statements to the Superintendency in the manner in which the Commission sees fit. NGOs must formally account for their capital using established accounting standards and submit an annual audited balance sheet to the Ministry of Interior’s Registry; auditors are obligated to inform the organisation's general assembly and the El Salvador’s Court of Accounts if there is an irregularity in the administration of capital. External ratings do not appear to be common among co-operatives or NGOs, though they are more common (albeit not obligatory) among banks. Disclosure and dissemination of effective interest rates is voluntary, and practices vary across institutions. (Microfinance Gateway; MIX Market; Personal interview, August 2007).</t>
  </si>
  <si>
    <t>Institutions regulated directly by the CNBV must be externally audited on a regular basis. Audits are also required of institutions upgrading to new status under the 2001 law, though it is not clear if federations subsequently will require them on a regular basis. External ratings are uncommon—only 7 of the 28 MFIs (including non-bank financial institutions, NGOs, cooperatives and a bank) listed in MIX Market are externally rated. Disclosure of effective interest rates is limited, as there are no consumer protection norms for the major categories of institutions. (Meagher et al, 2006; Microfinance Gateway; personal interview, August 2007).</t>
  </si>
  <si>
    <t>Interest rate ceilings exist for NGOs, but their existence encourages the hiding of effective rates on the part of all institutions engaged in microfinance, including those that are regulated. Regulated institutions are frequently rated and audited. Both banks and non-bank financial institutions must submit annual financial statements to the Superintendency, and must have an annual shareholder meeting to discuss the audited financial statements and publish these statements in a widely circulated newspaper. Credit unions must submit annual financial reports to the Ministry of Labour, though they need not be audited. Practices are uneven across NGOs—half of the NGO MFIs listed in MIX Market were externally rated on at least one occasion in 2005-06. (Personal interview, August 2007; Microfinance Gateway; EIU, Country Finance, February 2007).</t>
  </si>
  <si>
    <t>Of the six MFIs covered by MIX Market through 2006, the sole NGO was externally rated, the one co-operative was not, and two of the four non-banking financial institutions were rated. In regulated institutions, external audits (though not necessarily ratings) and disclosure of effective rates are standard and mandatory. Among NGOs and credit unions, there are no legal requirements, practices vary and disclosure is typically weaker. (Personal interview, August 2007).</t>
  </si>
  <si>
    <t>Regulated institutions are required to disclose effective interest rates on a frequent basis via the internet. Non-regulated institutions often do not do so in practice (and face no legal obligation) since they face interest rate ceilings and thus compensate with hidden fees. Annual external audits and ratings are required of regulated institutions. NGOs have varying practices, with pressures for self-regulation coming from voluntary associations and from international funders; six of 16 NGO MFIs listed in MIX Market are externally rated. (Ebentreich, 2005; De Janvry et al, 2003; Microfinance Gateway; Personal interview, August 2007).</t>
  </si>
  <si>
    <t>Regulated institutions are required to undergo audits and ratings, and also to publish effective interest rates. Non-regulated institutions do not face these requirements, and their practices vary in practice. (MIX Market; Personal interviews, September 2007).</t>
  </si>
  <si>
    <t>Annual external ratings and evaluations are required for regulated institutions, and monthly financial statements must be published in newspapers. There is no obligation to advertise effective interest rates, and it is not common practice. The few, small NGOs operating in the sector do not follow such standards or face any particular requirements. (Personal interview, August 2007; MIX Market)</t>
  </si>
  <si>
    <t>Microfinance is mostly a "mono-product" industry, though a few regulated institutions are beginning to expand into additional services such as savings and insurance. Of the seven MFIs listed in MIX Market, only one offered an additional service (fund transfer). (Personal interview, August 2007).</t>
  </si>
  <si>
    <t>Regulated institutions have innovated in expanding services (savings on the part of regulated institutions, fund transfer, health insurance, hazard insurance, financial leasing etc). NGOs offer more limited services. (Personal interview, August 2007; MIX Market).</t>
  </si>
  <si>
    <t>Development and commercial banks can legally and typically do offer (in some combination) such services as loans, check-cashing, savings, insurance and housing loans. SCMs, OSCIPs and NGO MFIs are limited legally to microcredit and simple services such as check-cashing. Credit unions typically engage in accepting savings deposits and  making loans, but they are restricted from additional activities. (MIX Market; personal interview, August 2007; Meagher et al, 2006).</t>
  </si>
  <si>
    <t>A fairly wide range of services beyond microcredit are offered (eg, remittances and bill payment), more so in regulated institutions (which are also the only ones that can offer savings and term deposits). (Personal interview, August 2007; Microfinance Gateway; MIX Market).</t>
  </si>
  <si>
    <t>Many MFIs in Ecuador offer a moderate range of services beyond microcredit, particularly savings, fund transfer, and in some cases insurance.  There is still room for more innovation. (MIX Market; Personal interview, August 2007).</t>
  </si>
  <si>
    <t>Regulated institutions often have a modest to wide variety of other services, such as savings, insurance and fund transfer/remittances. Cooperatives primarily conduct only savings and loan operations. NGOs generally offer only microcredit. (MIX Market; personal interview, August 2007).</t>
  </si>
  <si>
    <t>The range of services is limited, with savings accounts offered by a variety of regulated and even non-regulated institutions as the main activity other than microcredit. Of the 27 MFIs listed in MIX Market, only six offer services beyond microcredit (primarily one or two additional products, such as fund transfer, savings and insurance). The few banks engaged in microlending tend to offer modest services beyond microcredit. The transformation of institutions by 2008 under the 2001 law should expand the range of services, as upgraded institutions would in many cases be able to move into savings (if they are not already deposit-takers) and also, with the help of BANSEFI, into fund transfer (Personal interview, August 2007).</t>
  </si>
  <si>
    <t>MFIs offer a limited to modest range of additional services, varying by institution and institution type. All but the NGO-based institutions offer savings accounts, while some additionally offer fund transfer/remittances or insurance. (Personal interview, August 2007; MIX Market).</t>
  </si>
  <si>
    <t>Regulated institutions have innovated a fair amount in providing savings, checking, ATM, fund transfer and other services. CRACs and CMACs offer both savings and microcredit. Although not allowed to accept deposits, EDPYMEs can gain permission to offer additional services (eg, credit cards) by increasing their minimum capital base and passing an ad hoc evaluation by the SBS. Non-regulated institutions are more limited in the services they can legally and practically offer, often being limited to just microcredit. (Ebentreich, 2005; Microfinance Gateway; Personal interview, August 2007).</t>
  </si>
  <si>
    <t>This is generally a mono-product industry, with institutions offering micro-credit only or savings and loans providing slightly wider services (regulated institutions can and often do offer savings). Only a few of the larger institutions offer any services beyond these. (Personal interviews, September 2007).</t>
  </si>
  <si>
    <t>Since the majority of institutions, and most microcredit provision, is by banks or bank-related institutions, a fairly broad range of services is offered beyond microcredit (eg, insurance, savings, banking cards and domestic fund transfers). Exchange controls make international fund transfers impossible. (Personal interview, August 2007).</t>
  </si>
  <si>
    <t>Argentina's Credit Information Index score stands at 6.0 out of 6.0 on the World Bank's Doing Business (2006) scale, compared to a 3.4 regional average and a 5.0 OECD average. The survey reports that the public registry (sistema veraz) covers 25.4% of adults (compared to 7.0% and 8.4%, respectively), and private bureaus cover 100% (compared to 27.9% and 60.8%, respectively). The public registry is very rudimentary. Information from private bureaus is often dated and does not cover many types of small-scale transactions, however. (Personal interview, August 2007).</t>
  </si>
  <si>
    <t xml:space="preserve">Since the debt crisis of 1998-2001, the SBEF has issued regulations for opening private credit bureaus to allow regulated MFIs to access credit information provided by unregulated MFIs, and vice-versa. Also, private bureaus now share information with the central public registry (CIRC). Clear regulatory distinctions have been drawn since 1999 between microcredit and consumer lending (which is based on formal wages as the basis for credit and repayment, longer tolerance for arrears and garnishing of wages for default). There also continues to be some use of informal credit bureaus, information vendors and blacklists, though much less so with the increased prominence of private bureaus and increasing quality of data on prospective borrowers. World Bank's Doing Business (2006) gives Bolivia a 5.0 out of a possible 6.0 on its Credit Information Index, compared to a 3.4 regional average and a 5.0 OECD average; the public registry covers 11.5% of adults (compared to 7.0% and 8.4%, respectively), while private bureaus cover 32.3% (compared to 27.9% and 60.8%, respectively). (ASOFIN 2006; de Janvry et al, 2003; personal interview, August 2007). </t>
  </si>
  <si>
    <t>The public and private bureaus do not cover microfinancial and other transactions by the lowest income borrowers. The World Bank's Doing Business (2006) gives Brazil a 5.0 out of 6.0 score on its Credit Information Index, compared to a regional average of 3.4 and an OECD average of 5.0. The study reports that 9.2% of adults are covered by the public registry (compared to 7.0% and 8.4%, respectively) and 43.0% by private bureaus (compared to 27.9% and 60.8%, respectively). (Personal interview, August 2007).</t>
  </si>
  <si>
    <t>Both public and private bureaus exist, though information is sometimes incomplete. Institutions do consult them, and it typically takes 2-3 working days to receive information. Information tends to be good for formal-sector, regulated transactions, but not for other types of transactions. The World Bank's Doing Business (2006) gives Chile a 6.0 out of 6.0 rating on its Credit Information Index, compared to a regional average of 3.4 and an OECD average of 5.0. The public registry covers 31.3% of adults (compared to 7.0% and 8.4%, respectively) and private bureaus 19.3% (compared to 27.9% and 60.8%, respectively). (Personal interview, August 2007; Padilla and Gillet, 2001).</t>
  </si>
  <si>
    <t>Although there is no public registry, private credit bureaus track both individuals and firms. Positive and negative data are distributed, and the bureaus collect credit information from financial institutions as well as retailers and utility providers. Non-regulated institutions do not appear to be covered, however. The World Bank's Doing Business (2006) gives Colombia a 4.0 out of a maximum 6.0 on its Credit Information Index, compared to a regional average of 3.4 and an OECD average of 5.0. Private bureau coverage is 28.3% of adults, compared to a regional average of 27.9% and an OECD average of 60.8%. (Microfinance Gateway).</t>
  </si>
  <si>
    <t>Both a public registry and private bureaus exist, and are widely used. Efforts are being made to integrate the information, though much more needs to be done. The country receives the highest score (6.0 of 6.0) on the Credit Information Index of the World Bank's Doing Business (2006); the public registry covers 51% of adults (compared to 7.0% average for the region and 8.4% for the OECD), and private bureaus cover 11.9% (compared to a 27.9% average for the region and 60.8% for the OECD). (Personal interview, August 2007).</t>
  </si>
  <si>
    <t>The Superintendency of Banks and Financial Institutions (SBIF), which functions independently from the Central Bank, is the chief regulator. Law 252 of 1960 is the primary legal instrument. The main regulated institutions are state and commercial banks (of which three large ones operate in microfinance), credit unions/cooperatives (of which the country has over 2,000, are limited to members and may be for-profit or non-profit from 2003), and mutual societies (cajas de compensación), of which there are two large ones. Pursuant to usury laws, the SBIF sets an annual maximum interest rate, as well as maximum monthly rates (based on the average rates of the previous months X 1.5); there are different maximum rates for each credit segment. There are some indirect and direct subsidies for public programmes that compete with private institutions, though they have decreased over time and institutions have moved toward commercial criteria. Neither capital adequacy ratios (10%, and in transition toward Basel II norms) nor documentation requirements are burdensome. (Padilla and Gillet, 2001; personal interview, August 2007; EIU, Country Finance, May 2007).</t>
  </si>
  <si>
    <t>The main regulatory authority is the Banking Superintendency and its authority stems from Chapter III of Organic Central Bank Law 489 (1995) and subsequent amendments. Obstacles are only minor, mainly in the form of some residual competition in rural and agricultural areas from state financial entities like BNF and CAH. These lenders are now being restructured, along with three others, into a single entity that will likely operate without subsidies for microfinance. Banks and finance companies can charge market interest rates, and documentation requirements and capital adequacy ratios (10% for banks and finance companies) are adequate but not excessive. A half dozen finance companies have microfinance operations. Despite the absence of any regulatory hurdles, no banks engage in microcredit. (Personal interview, August 2007; Berger et al, 2003; Jannson, 1997; website of the Central Bank of Paraguay).</t>
  </si>
  <si>
    <t>in the late 1990s and early 2000s, new regulations enabled the formation of two distinct type of microcredit organisations—public interest civil societies (OSCIPs), which are a particular type of financially non-regulated NGOs (but supervised by the Ministry of Justice), and microenterprise credit societies (SCMs), which are regulated for-profit entities. There is a generous public subsidy for the creation of new organisations, though limited availability of funds restricts the licensing of new institutions in practice. SCMs have high interest rates, profits, loan delinquency and write-offs, making them in practice similar to well-run consumer finance companies than to microfinance institutions (even though they can not make consumer loans, by law). Their rate of creation levelled off after the first few years. OSCIPs and SCMs enjoy exemption from usury laws (which apply to all other non-regulated microcredit providers, including NGOs that do not obtain OSCIP status), fiscal benefits and access to certain public second-tier programmes. Both OSCIPs and SCMs are limited to microcredit. (Meagher et al, 2006; Curat et al, 2007; personal interview, August 2007).</t>
  </si>
  <si>
    <t>Unlike in some other countries, there are no special laws or provisions for single-purpose, regulated MFIs, and no such MFIs exist. Such specialist MFIs are not expressly prohibited, and some semi-regulated credit companies (cajas de crédito) were able to upgrade into regulated (and non-specialised) finance companies in the 1990s. The finance companies active in the sector do not have more than 20% of their portfolios in microfinance, however. NGOs and credit unions (co-operativas de ahorro y crédito) active in the sector are not financially regulated and would need  US$5m in minimum capital to become finance companies. Practical, non-legal, fundraising constraints in capital markets have prevented NGOs, in particular, from upgrading (Personal interview, August 2007; Berger et al, 2003; website of the Banking Superintendency).</t>
  </si>
  <si>
    <t>EDPYMEs, also regulated by the SBS under the same umbrella legislation, are entities for the development of small and micro enterprises (entidades de desarollo de la pequeña y micro empresa, or EDPYMEs). They are non-deposit-taking institutions—their one obstacle—that are often owned by NGOs. Most of the currently existing EDPYMEs were formerly credit NGOs. These organisations transformed into regulated MFIs because they wanted to be regulated (with advantages like greater access to wholesale finance) and/or they wanted to avoid paying VAT on interest earned on their loans, as NGOs do. NGOs that have remained in that status have a regulatory pathway to upgrade into EDPYMEs if they fulfil certain steps outlined in the General Law, related to loan provisioning, risk management, information disclosure, and the like. EDPYMEs may also upgrade over time to offer wider services; in practice, some have moved into credit and debit cards but not none have into savings. (Ebentreich, 2005; Microfinance Gateway; personal interview, August 2007).</t>
  </si>
  <si>
    <t>There is a lack of trained personnel in the use of specialised microfinance methodologies. The Superintendency does not have a microfinance unit or other form of specialised regulatory capacity. (Personal interview, August 2007).</t>
  </si>
  <si>
    <t>By law, all Uruguayan companies must follow IFRS existing as of May 19th 2004. The auditor's report refers to conformity with Uruguayan GAAP, which is similar to IAS. The general integrity of Uruguay accounting standards is rated by EIU Risk Briefing as intermediate. (IAS PLUS/Deloitte; EIU, Country Commerce, April 2007).</t>
  </si>
  <si>
    <t>Economy-wide, laws passed in 2000-02 for traded corporate entities (sociedades anónimas abiertas) strengthened minority rights, allowed for formation of audit committees, strengthened management responsibility for ensuring fair market prices for transactions, set limits for stock options and purchase of own shares, and established other corporative governance norms. There have been periodic discussions of a national corporate governance code that would encompass non-listed firms as well, but no concrete action. The current and previous governments have sought to strengthen minority rights further, but much remains to be done particularly with respect to non-listed firms, where the issue in practice is dealt with through shareholder agreements. A capital markets reform package pending in the congress should tighten protection of minority shareholders. Institutions regulated by the SBIF have higher and more uniform governance standards than non-regulated institutions. On the World Bank's Doing Business (2006) Investor Protection Index, Chile scores 6.3 out of 10, compared to 5.1 for the region and 6.0 for the OECD. Chile scores well above the regional average for disclosure (8.0) and director liability (6.0), but slightly below average on shareholder ability to sue (5.0). (EIU, Country Commerce, September 2006; Personal interview, August 2007; Padilla and Gillet, 2001).</t>
  </si>
  <si>
    <t>The Superintendency requires regulated institutions to publish annual audited financial statements. Some non-regulated institutions, while under no legal requirement, conduct external audits so that they can be eligible for bank loans, receive socially responsible investment, and for other motives. Of the 15 Colombian institutions listed on MIX Market (including 13 NGOs, a bank and a non-bank financial institution), six are externally rated. Disclosure of effective interest rates is not required, though regulated institutions must disclose nominal rates and fees. The degree to which MFIs, regulated and not, disclose effective rates varies in practice. (Microfinance Gateway; MIX Market; personal interview, August 2007).</t>
  </si>
  <si>
    <t>External audits and ratings on an annual basis are required for regulated institutions. Some NGOs are "self-regulating," under such organisations providing technical services as the Rural Financial Network (Red Financiera Rural). Such NGOs undergo external audits and in some cases external ratings. Of the 15 NGO-based MFIs in Ecuador listed in MIX Market, seven received at least one external rating in 2005-06.  Dissemination of effective market interest rates has been uneven and unregulated, though a recent loosening of interest rates restrictions in principle mandates greater transparency. (Microfinanza, July 2006; Personal interview, August 2007).</t>
  </si>
  <si>
    <t>There are separate private bureaus used by regulated and non-regulated institutions, respectively. There is also a public registry, though it tends not to cover transactions by and with small and micro-businesses. Measuring the extent of information available, the World Bank's Doing Business (2006) gives El Salvador a maximum 6.0 out of 6.0 on its Credit Information Index, compared to a regional average of 3.4 and an OECD average of 5.0. It reports that 30.5% of Salvadoran adults are covered by the public registry (compared to 7.0% and 8.4, respectively) and 79.6% by private bureaus (compared to 27.9% and 60.8%, respectively). (Personal interview, August 2007).</t>
  </si>
  <si>
    <t>There is very little competition among MFIs, with an HHI score of 4702.6, according to figures contained in a dataset supplied by Sergio Navajas and Luis Tejerina of the IDB. Competition is beginning to arise, but only in regional pockets (eg, the province of Buenos Aires, Mendoza, Salta). Many provinces are served by only one institution. (Personal interview, August 2007).</t>
  </si>
  <si>
    <t>There is very little competition among MFIs, with an HHI score of 4541.6, according to figures contained in a dataset supplied by Sergio Navajas and Luis Tejerina of the IDB. The level of competition has grown in recent years, but is still quite low. (Personal interview, August 2007).</t>
  </si>
  <si>
    <t>Credit bureaus, both public and private, are well developed and regulated. On the World Bank's Doing Business Credit Information Index (2006), Ecuador is rated 5.0 out of 6.0, equal to the OECD average (5.0) and well above the regional average of 3.4. The public registry covers 15.2% of adults (compared to 7.0% in the region and 8.4% in the OECD), while private bureaus cover 43.7% (as opposed to 27.9% in the region and 60.8% in the OECD). (Personal interview, August 2007).</t>
  </si>
  <si>
    <t>Regulated lenders choose whether or not to grant credit on the basis of information supplied by the public Credit References Corp (CREDIREF) about credit standing, financial situation, payment capacity and level of indebtedness. Bank, cooperatives and commercial lenders, however, are often weakly integrated into CREDIREF data, which also do not reflect transactions with non-regulated institutions. Bureaus are not allow to publish long-term credit history due to out-dated legal restrictions. Private bureaus have not been very active (though a recent Central American regional bureau set up by Trans Union, TUCA, plans to operate there). Nonetheless, the World Bank's Doing Business (2006) gives Guatemala a 5.0 out of a possible 6.0 on its Credit Information Index (compared to a regional average of 3.4 and an OECD average of 5.0). The public registry covers 16.1% of adults (compared to 7.0% and 8.4%, respectively) while private bureaus cover 9.2% (compared to 27.9% and 60.8%, respectively). (de Janvry et al, 2003; Personal interview, August 2007).</t>
  </si>
  <si>
    <t>MFI clients as % of microenterprises</t>
  </si>
  <si>
    <t>0.0%</t>
  </si>
  <si>
    <t>The Law on Banks and Financial Entities (1993), Central Bank Law (1995) and their subsequent amendments provide the main juridical anchors for microfinance regulation. The main supervisory agency is the Superintendency of Banks and Financial Entities (SBEF, in Spanish). The regulatory framework permits commercial banks, private financial funds (fondos financieros privados, or FFPs), and mutual benefit savings and home loan societies to undertake large, active microfinance operations. They do not face interest rate restrictions or excessive documentation requirements. Capital-adequacy ratios (10%) are not burdensome. Direct competition from state-subsidised microlending programs has been non-existent, though there is a threat of such programmes being adopted in the short to medium term. (Microfinance Gateway; Meagher et al, 2006; personal interview, August 2007).</t>
  </si>
  <si>
    <t>A former public registry covering mostly middle- to- upper-income Mexicans no longer operates, though there is a private bureau that works with MFIs. The quality of the information is limited and uneven. Mexico scores 6.0 out of 6.0 on the World Bank's Doing Business (2006) Credit Information Index, compared to a regional average of 3.4 and an OECD average of 5.0. The study reports that private bureau coverage is 69.5% of adults (compared to the 27.9% regional average and the 60.8% OECD average). (Personal interview, August 2007).</t>
  </si>
  <si>
    <t>There are both public and private credit bureaus, though the latter are incipient. The World Bank's Doing Business survey (2006) gave Nicaragua a favourable 5.0 out of 6.0 rating on the Credit Information Index. It reported that 12.5% of the adult population was covered by the public registry (compared to a regional average of 7.0% and an OECD average of 8.4%), but only 3.4% by private bureaus (compared to a regional average of 27.9% and an OECD average of 60.8%). There continue to be problems in the integration of data from public and private bureaus as well. (Personal interview, August 2007).</t>
  </si>
  <si>
    <t>For regulated institutions, there are established and fairly reliable credit bureaus, which provide both positive and negative information about borrower transactions and disseminate it reasonably widely. Information about dealings with non-regulated institutions is generally not available. Credit unions have their own, more unevenly effective credit bureau, while NGOs lack such a system. The World Bank's Doing Business survey (2006) gives Paraguay the maximum score of 6.0 on its Credit Information Index, compared to a 3.4 regional average and a 5.0 OECD average. The study reports public registry coverage at 10.6% of adults (compared to 7.0% and 8.4%, respectively), and private bureau coverage at 52.2% (compared to 27.9% and 60.8%, respectively). (Personal interview, August 2007).</t>
  </si>
  <si>
    <t>The SBS collects information from all debtors of the financial system, and consolidates it in its credit bureau. It also sells the information to two private credit bureaus (Infocorp and Certicom), which complement that information with other sources (utilities, tax collector, retail stores etc). Both positive and negative information on prospective clients is reported, and information on all clients of regulated financial institutions is reported, though the timeliness of information is sometimes wanting. The World Bank's Doing Business (2006) gives Peru its highest ranking (6.0 out of 6.0) on its Credit Information Index; 19.2% of adults were covered by the public registry (compared to a 7.0% average for the region and 8.4% for the OECD); and 28.6% of adults are covered by private bureaus (compared to a 27.9% average for the region and 60.8% for the OECD). Regulated institutions use the public credit registry consistently, but non-regulated institutions vary in their usage. At both types of institutions, there tends to be continued reliance on informal contacts at other institutions and banks to check on prospective clients. (Ebentreich, 2005; De Janvry et al 2003; Microfinance Gateway).</t>
  </si>
  <si>
    <t>Uruguay receives a 6.0 out of 6.0 in the World Bank's Doing Business Credit Information Index, compared to a regional average of 3.4 and an OECD average of 5.0. The study reports that the public registry covers 13.2% of adults (compared to 7.0% and 8.4%, respectively), and private bureaus coverage 85.3% (compared to 27.9% and 60.8%, respectively). However, the quality and breadth of that information is very questionable, as many transactions are excluded. (Personal interviews, September 2007).</t>
  </si>
  <si>
    <t>Until about 2005, there was a credit bureau which provided information on late payments, but it no longer operates. MFIs operate in a total vacuum of credit information. The World Bank's Doing Business survey (2006) assigns Venezuela a 0 (out of a possible 6.0) on its Credit Information Index. This compares to a regional average of 3.4 and an OECD average of 5.0. The percentage of the adult population covered by public registries and private bureaus is reported at 0. (Personal interview, August 2007).</t>
  </si>
  <si>
    <t>INDI_NOTE</t>
  </si>
  <si>
    <t>Notes</t>
  </si>
  <si>
    <t>INDI_NOTES_PARSE</t>
  </si>
  <si>
    <t>Independent auditors may attend annual shareholders' meetings but are not required to do so, meaning minority board members do not always have access to timely financial information. The legal oversight figure of legal representatives (comisarios) have conflicting responsibilities of external oversight and internal provision of advice. Financial reforms have improved regulation, but concerns persist over corporate governance and supervision. The World Bank's Doing Business (2006) rates the Dominican Republic 4.0 on a scale of 10.0 in terms of its Investor Protection Index, compared to a regional average of 5.1; it received an average score on disclosure, an above-average score on shareholder ability to bring suits, and a zero score on director liability. (EIU, Country Risk Summary, August 2007; IFC, Report on Observance of Standards and Code, December 2004).</t>
  </si>
  <si>
    <t>Economy-wide, minority rights are covered in the corporate governance norms that CAF has developed and for which it, along with other international agencies, is providing Ecuadorian firms training and technical assistance over a four-year period. But this is a voluntary undertaking for firms. Ecuador scores low in the World Bank's Doing Business Investor Protection Index (2006), earning a score of 4.0 out of a maximum of 10.0 (compared to a 5.1 average for the region and a 6.0 average for the OECD). Governance standards tend to be higher in the regulated sector, where some norms are enforced by the Superintendency, than in the non-regulated sector. (Personal interview, August 2007).</t>
  </si>
  <si>
    <t xml:space="preserve">Economy-wide, only minimal requirements are in place for corporations, such as holding annual meetings, publishing annual financial reports, allowing minority shareholders to call a meeting, and registering companies in the commercial registry. Beyond experience requirements for directors and CEOs, the Financial System Commission imposes no significant governance requirements for financial institutions. The World Bank's Doing Business (2006) scores El Salvador at 4.7 out of a maximum 10.0 on its Investor Protection Index, compared to 5.1 for all of Latin America and 6.0 for the OECD. The country scores above the regional average on disclosure (6.0), well below the average on director liability (2.0), and close to the average for ability of shareholders to bring suit. Associations and foundations must have publicly available internal statutes, which include a description of the administering body's functions; procedure for elections; and a responsibility and accountability plan. (Microfinance Gateway; EIU, Country Commerce, July 2007; personal interview, August 2007) </t>
  </si>
  <si>
    <t>The governance structure of many financial institutions remains more familial than corporate. The World Bank's Doing Business (2006) gives Guatemala a score of 4.0 out of a possible 10.0 on its Investor Protection Index, below both the 5.1 regional average and 6.0 OECD average. The country receives low scores on disclosure and director liability, and a medium score on shareholder ability to sue. The numerous NGOs in Guatemala have widely varying governance structures and norms. (EIU, Country Finance, December 2006; Personal interview, August 2007).</t>
  </si>
  <si>
    <t>Corporate governance practices remain a concern, though there have been legal improvements in the last five years or so for publicly traded firms: a requirement of 25% independent directors, the ability of a majority of independent directors to form audit committees, some violations now treated as criminal offences and the strengthened of minority rights. Also, a private institute and a voluntary code for corporate governance have been established. Lingering concerns remain weak oversight and reporting requirements (firms must report annually on non-compliance but with no clear penalties), little regulation of non-traded firms, and the prevalence of tight family and personal networks in running business. The World Bank's Doing Business (2006) gives Mexico a 6.0 out of 10.0 on its Investor Protection Index, compared to a regional average of 5.1 and an OECD average of 6.0. Mexico scores above the regional average on disclosure (8.0), close to the average for director liability (5.0), and slightly below the average for ability shareholders to bring suits (5.0). The federated governance structure of the newly created microfinance-specific legal forms remains untested in practice for this activity. NGOs are self-regulating, with varying standards and efforts at benchmarking. (EIU, Country Finance, March 2007; OECD, Latin American Corporate Governance Roundtable; personal interview, August 2007).</t>
  </si>
  <si>
    <t>A general meeting of shareholders is the highest authority of a corporation (sociedad anónima), the legal status held by regulated institutions. There must be periodic meetings of the shareholders (usually at least once a year). The assembly is empowered to draft or modify the company’s charter or issue shares. Any shareholder or group of shareholders representing a minimum percentage of the capital stock may convene a shareholders’ meeting. Corporate charters must be registered in the Mercantile Register (Registro Mercantil). Government authorities may require firms to present financial statements or minutes of board meetings, but they do not do so systematically. The Superintendency has, however, strengthened information reporting and disclosure requirements for regulated institutions in recent years. Nicaragua scores slightly below the regional average (5.0 out of 10 as compared to an average of 5.5) on the Investor Protection Index of the World Bank's Doing Business survey (2006), with average to below-average scores on disclosure, director liability and the ability of shareholders to sue. Awareness of the importance of independent and transparency is somewhat lacking. (EIU, Country Finance, February 2007; Personal interview, August 2007).</t>
  </si>
  <si>
    <t>Formal norms and legal enforcement are generally considered weaker than those of neighbours, particularly in minority rights, though Paraguay is party to the voluntary corporate governance norms of Mercosur. Yet, with an average 5.7 out of 10 in the World Bank's Doing Business 2006 survey, the country still rates above the regional average for "investor protection" (5.1) but below the OECD average (6.0). The World Bank survey contemplates director liability, information disclosure and ability of shareholders to bring suits, on all of which the country scores moderately. (Personal interview, August 2007).</t>
  </si>
  <si>
    <t xml:space="preserve">Relatively strict financial disclosure requirements exist for publicly traded companies (by law, banks and financial institutions must be listed). As open corporations (sociedades anónimas abiertas), such corporate institutions must disclose non-confidential information at the request of shareholders representing at least 3% of capital. Board composition and decision-making are only partially regulated. Conasev, the securities regulatory, set up a voluntary code in 2002, and in 2005 for the first time companies were required to report on their compliance with it. Peru scored 6.7 out of a maximum 10.0 on the World Bank's Doing Business Investor Protection Index for 2006. This score was above the regional average of 5.1 and the OECD average of 6.0, and reflected above-average ratings for ability of shareholder to bring suits and information disclosure and an average rating for director liability. Among non-regulated institutions, there is wide awareness of the importance of observing good standards as a result of self-regulation through voluntary NGO associations. (IFC, Report on Observance of Standards and Codes, June 2004; EIU, Country Commerce, May 2007; Personal interview, August 2007). </t>
  </si>
  <si>
    <t>In the corporate sector as a whole, including among financial institutions, there is limited transparency in finances and decision-making. Minority shareholder rights are generally weak in law and practice, even among listed firms. The investor protection index of Uruguay stands at 5.0 out of 10.0 according to the World Bank's Doing Business survey (2006), compared to an average 5.1 in the region as a whole and an average 6.0 in the OECD. Uruguay scores well above the regional average for shareholder ability to file suit (8.0), but below average for disclosure (3.0) and director liability (4.0). There is no regulation of NGO governance norms and they vary in practice across organisations; there is little self-regulation. (EIU, Country Commerce, April 2007; Personal interviews, September 2007).</t>
  </si>
  <si>
    <t>Law 964, approved in mid-2005 pursuant to IMF commitments, includes new provisions to improve financial institutions’ governance practices, adding to those enacted by a 2002 decree for securities firms. The new law, whose effectiveness remains unclear, aims to extend the same self-regulation rules to all players in the financial sector. It required all institutions involved in financial intermediation to implement corporate governance codes by July 8th 2006. Also, self-regulation committees, one for each type of financial services company, are to issue self-regulation codes, which are supposed to include specific penalties for employee violators. The law also created several measures to protect shareholders (especially minority ones), including compulsory disclosure of agreements among stockholders, the ability of minority shareholders to request information from the board of directors, the incorporation of independents on the boards of directors and the establishment of an auditing committee. However, it remains to be seen if these measures will actually be enforced or if majority shareholders will find a way to avert them without breaching the law. Law 964 and subsequent implementing regulations also required listed companies to appoint at least one independent director by mid-2006, and to reach the 25% independent directors threshold by July 2007 (it is not clear how many met that timetable). There are unspecified sanctions applicable by the Financial Superintendency if firms do not meet that timetable. By October 2006, it reported that only 5% of listed firms lacked independent directors (down from 29% in its own survey four months earlier), while 45% of companies had 26% or more of independents, 12% had a quarter, and 4% had 15-24% independents (34% of firms were non-reporting). While there are no norms for unlisted firms, discussions continue on a voluntary national corporate code of conduct. Among NGOs, though formal requirements do not exist, governance standards are often solid, due to self-regulation in part to meet the concerns of potential foreign and domestic lenders and investors. (Personal interview, August 2007; OECD Roundtable, 2005; Diario La República, 2005; EIU, Country Finance, July 2007).</t>
  </si>
  <si>
    <t>In principle, the 2001 law, with the creation of two deposit-taking institutional forms (EACPs and SOFIPOs), provides a promising upgrading vehicle. Since institutions have until 2008 to make conversions, some of the impact remains to be seen. However, fewer SOFIPOs have been created to date than had been hoped; some NGOs and finance companies that had wished to transform have found unattractive the equity structure and the federation governance structure (a form of delegated governance through a federation of institutions with a single committee of financial supervision). These forms are not intended for greenfield MFIs per se, though in principle they could be created. (Meagher et al, 2006; personal interview, August 2007).</t>
  </si>
  <si>
    <t>There is little danger of expropriation or confiscation, and it is official policy to encourage foreign investment by creating a clear, stable and favourable regulatory framework. Although the Supreme Court is impartial and well respected, the lower levels of the judiciary and civil service are susceptible to corruption and intimidation. Drugs money and the power of vested interests have contributed to the contamination of the legal system. In regions with a high level of guerrilla and paramilitary activity private property is threatened, and extortion by both guerrillas and common criminals is widespread. (EIU, Risk Briefing, September 2007).</t>
  </si>
  <si>
    <t>The judiciary is inefficient and politicised, which means that contractual agreements are often not respected and the protection of property rights is not guaranteed. Efforts to make the judicial system more effective will be constrained by the lack of political will and weak institutional capacity. The system is also extremely slow. The time required to prosecute and pass judgement on a case can be many years. The regulatory system remains opaque, despite some advances in transparency in recent years. Private property rights are respected, and intellectual property protection should improve under the terms of the Dominican Republic-Central America Free-Trade Agreement (DR-CAFTA) with the US. Company accounts are frequently unreliable. (EIU, Risk Briefing, September 2007).</t>
  </si>
  <si>
    <t>Administratively, it is not easy to form an NGO, which can take up to one year. While NGOs can set market interest rates, they face subsidised competition in the form of second-tier loans to competitors that required fixed interest rates (6% currently). Although NGOs are exempt from value-added tax—which SAs, the other type of regulated institution, do face—their credit operations are taxed, as they in effect must transfer the VAT to the customer or make provisions for this expense. These two categories of non-regulated institutions also face a 30% withholding tax (encaje) for one year on funds received from abroad (with exemptions for foundations and civil associations—NGOs—that are primarily engaged in microcredit and whose average external credits are two years or more in length). (Curat et al, 2007; personal interview, August 2007).</t>
  </si>
  <si>
    <t>Colombia has one of the largest non-regulated MFI sectors in the region. The one significant hurdle is that non-regulated institutions face a 40% withholding tax (encaje) on external loans for 180 days. NGOs face no significant regulatory barriers in forming and becoming active in microcredit. Pursuant to the Civil Code and Decree 1529/90, NGOs register as non-profit associations with the respective Chamber of Commerce and territorial government (departamento). Sources of funding including international philanthropy, socially responsible investment, and even—if standards are sufficiently high—local bank loans and bond issues. Several specific types of non-finance cooperatives also operate on a non-regulated basis: full-service cooperatives with a savings and credit section, multipurpose cooperatives with a savings and credit section, and specialised savings and credit cooperatives. Like regulated finance co-ops, they register with the Chamber of Commerce, but unlike them they are licensed by the Superintendency of Mutualistic and Cooperative Societies, a non-financial governmental entity. (Personal interview, August 2007; Microfinance Gateway; Curat et al, 2007).</t>
  </si>
  <si>
    <t>The legal and regulatory system is weak and deteriorating, with an inefficient judiciary, an unstable regulatory framework, and government encroachment on contract and property rights. Acceleration of land reform, the recently announced nationalisation of utilities, and the development of "co-management" demonstrate the risks to property rights. Revision of mining and oil agreements will sustain uncertainty over contract rights. There is a risk that foreign companies will be discriminated against, or a contract will not be enforced, and in the event of a dispute, effective means of arbitration are few. Without progress on judicial reform, the court system will remain inefficient. Protection of intellectual property rights is poor, as is regulation of unfair competitive practices. Competition will be undermined by the acceleration of the state-led development model. Price controls on a broad range of goods (first imposed in 2003 as an emergency measure) will stay in place for the foreseeable future. (EIU, Risk Briefing, September 2007).</t>
  </si>
  <si>
    <t>National accounting standards are used, though they are similar to IAS. IFRS are not permitted. For financial reporting, banking regulatory authorities typically demand stricter and more internationally oriented norms than tax authorities. Money laundering and the black economy generate many unrecorded transactions. (Deloitte/IASPLUS; EIU Country Commerce, July 2007; personal interview, August 2007 ).</t>
  </si>
  <si>
    <t>The NGO sector consists of very small organisations, has not grown much, and has been hit hard by financial crises and by the lack of international funding for Uruguay. It is virtually impossible for these organisations to accumulate enough capital and a large enough client base to upgrade into regulated institutions, and the lack of a specialised vehicle to which they could turn is an additional obstacle. Non-regulated co-operatives face similar obstacles. (Personal interviews, September 2007).</t>
  </si>
  <si>
    <t>Although the Central Bank has strong general regulatory capacity for the financial sector, it is weak in specialised knowledge, procedures and staff for microfinance (eg, special risk provisioning and credit scoring methodologies). Even with regulatory innovations in the current decade such as OSCIPs, SCMs and correspondent banking, microfinance regulation remains underdeveloped. (Meagher et al, 2006; personal interview, August 2007).</t>
  </si>
  <si>
    <t>The SBIF does not treat microfinance as a separate activity with different rules. For instance, microlending portfolios are lumped together with consumer loans in the "non-evaluated category" for each regulated institution. The SBIF tends to have greater regulatory capacity and knowledge of banks than other financial institutions. (Padilla and Gillet 2001; personal interview, August 2007).</t>
  </si>
  <si>
    <t>In general, the Financial Superintendency is known for being very strict and professional in its regulation and enforcement. Regulated institutions must file daily, weekly, monthly, quarterly, semi-annual and annual reports. Annual audited financial statements must be published. However, it lacks specialised procedures, personnel, and knowledge to regulate and supervise microfinance in a more effective, tailored manner. (Microfinance Gateway; personal interview, August 2007).</t>
  </si>
  <si>
    <t>There is substantial specialised capacity for regulation, as the activity of microfinance is regulated (with specific risk categories, credit methodologies, provisioning requirements etc) rather than specific types of insitutions. However, there are sometimes weaknesses in the political independence and credibility of the Banking Superintendency as a financial regulator more generally. (Microfinance Gateway; personal interview, August 2007).</t>
  </si>
  <si>
    <t>Although banks are generally well-regulated, the range of non-banking financial institutions often face problems, as do potential upgraders who are currently non-regulated. Specialised knowledge and procedures are often lacking (eg, on provisioning), as are laws that would give greater regulatory guidance on microfinance. (Personal interview, August 2007).</t>
  </si>
  <si>
    <t>IAS have been used in El Salvador's fully dollarised economy since 2000. IFRS were phased in over 2000-06. However, in some cases, IFRS are dated, and enforcement is often weak and overstretched. (Inter-American Accounting Association; IAS PLUS/Deloitte; EIU, Country Commerce, July 2007; IFC, Report on Observance of Standards and Codes, June 2005).</t>
  </si>
  <si>
    <t>Economy-wide, IFRS are required for all listed and unlisted companies, and IAS were adopted as mandatory in 2002. A small amount of legislation affecting the banking sector was passed in 2005 and 2006 to implement regulatory measures passed in 2004 intended to improve transparency and supervision of the financial sector. However, the impact remains uncertain, as the SB's supervision of the accuracy of annual financial statements has been placed into question by the recent failure of several banks. (EIU, Country Commerce, December 2006; Deloitte/IAS PLUS; Personal interview, August 2007).</t>
  </si>
  <si>
    <t>Economy-wide, Mexico is converging toward international standards but still makes use of national standards, including inflation-adjusted accounting (which is mandatory for listed firms). IFRS are permitted (not mandatory) for listed firms, but not permitted for non-listed firms. Bank accounting practices generally follow US standards since their overhaul in the 1990s. (Deloitte/IAS PLUS; EIU, Country Finance, March 2007; personal interview, August 2007).</t>
  </si>
  <si>
    <t>The SBS enjoys a good reputation and was rated 96.6 out of 100 in 2005 by a combined World Bank-IMF mission for the quality of its general financial regulations and supervision. In microfinance, specific regulations and methodologies have been developed for regulated MFIs, such as loan-loss provisioning based on loan status (rather than institution type); increasingly thorough on-site inspection procedures; and increasingly stringent requirement for internal controls in MFIs. Under a "modular scheme", Law 26702 allows MFIs to apply for authorisation to perform additional non-savings operations besides microcredit if they meet certain conditions and undergo an evaluation for that purpose. SBS has a well-trained, professional microfinance department and specific reporting and risk provisioning requirements for microfinance. (Ebentreich, 2005; Microfinance Gateway; Personal interview, August 2007).</t>
  </si>
  <si>
    <t>There is practically no specialised knowledge or development of methodologies, whether at the Central Bank or Office of Planning and Budgeting (OPP) of the Ministry of Finance, which has begun to take on a larger role in microfinance promotion. (Personal interviews, September 2007).</t>
  </si>
  <si>
    <t>In general, Sudeban is viewed as a well-run banking regulator, and Venezuela has not suffered any banking failures since the closure of Cavendes, a small investment bank, in 2000. The General Law on Banks and Other Financial Institutions made Sudeban autonomous and gave it a guaranteed budget, which it has used to expand its staff and improve training. The bank's specialised capacity for microfinance regulation is modest but improving, in terms of trained staff, customised standards and procedures (eg, allowance for non-collateralised credits), and the like. Technical assistance is being received from the IDB and CAF to this end, and a pending new "enabling law" for microfinance would likely improve the regulatory framework. Sudeban is somewhat institutionally constrained, however, in that it must administer politically determined interest rate regulations, quotas for lending to microenterprises and other sectors, and other measures that sometimes distort competition. (EIU, Country Finance, July 2007; personal interview, August 2007).</t>
  </si>
  <si>
    <t>Legal &amp; regulatory risk arises largely from the slow and complicated judicial process. Although the system is considered to be generally fair, delays reflect the ease with which legal injunctions can be obtained. The risk that a contract will not be enforced is low, but it may be subject to interpretation by state legislatures. There is little risk of expropriation of assets, and protection of private property is fair. Some improvements introduced in a 2004 judicial reform that included the introduction of a case law system to make Supreme Court decisions binding will speed up final resolution of contested cases. (EIU, Risk Briefing, September 2007).</t>
  </si>
  <si>
    <t>There is little risk of interference in the judicial process, whether from government or private interest groups. Contract rights are generally upheld and recognised. The judicial process is usually efficient. Neither the courts nor the government tend to favour domestic companies over foreign ones, and there has been no expropriation of foreign assets. The government is a keen promoter of competition (foreign and domestic) and will continue to lift barriers to entry into new markets. Intellectual and private property rights are guaranteed and protected by law, though enforcement can be slow and expensive. Accounting standards are clear and enforced, and business statements can generally be trusted. There are few price controls and, even in a crisis, the government is unlikely to impose them. (EIU, Risk Briefing, September 2007).</t>
  </si>
  <si>
    <t>Upscaling has not been as widespread as in some other economies, as minimum capital, loan-loss provisioning and other standards must be met. However, PROCREDIT recently upgraded from a financiera (a regulated non-banking institution) to a bank; FINDESA from an NGO to a financiera to a bank; and FAMA from an NGO to a financiera. No regulations currently exist to promote specialised MFIs, though the pending microfinance law might create such a figure in the future. Financieras are still limited in the range of services they are allowed to offer, which make them less than ideal vehicles. (Microfinance Gateway; Personal interview, August 2007).</t>
  </si>
  <si>
    <t>Uruguay has no specialised legal vehicle for microfinance. Co-operatives (both regulated and not) were initially specialised in what could be called microfinance, but they are now less so (eg, they are oriented toward consumer finance and a broader client base in socio-economic terms). There are no regulatory inducements for them to focus on microfinance. (Personal interviews, September 2007; IDB internal project document, August 4th 2005).</t>
  </si>
  <si>
    <t>There are several recent cases of greenfield banks focused on microfinance (albeit defined overly broadly), and the government appears eager to license them. There are also cases of existing banks that have created separate microfinance entities, sometimes for a mixture of commercial and political reasons. However, these regulated entities face high tax rates, and this together with competition from subsidised public institutions are reasons why portfolios remain limited and the number of institutions active in the sector remains relatively small. (Personal interview, August 2007).</t>
  </si>
  <si>
    <t>Brazil is a stable democracy. Since two decades of military rule ended in 1985, transitions between elected governments have generally been smooth. In October 2006, the president, Luiz Inácio Lula da Silva, was re-elected to a second four-year term, which began in January. Tensions within his leftist Partido dos Trabalhadores (PT) between "developmentalists" (who advocate a bigger role for the state) and their opponents create uncertainty in some areas but do not threaten cross-party support for disciplined fiscal and monetary policies. Although politicians are discredited, institutions are strong, but reforms are needed to improve effectiveness and transparency. A new corruption scandal has helped put reform back on the agenda, but far-reaching changes are not expected. Executive power is checked by a strong legislature. Brazil has a professional diplomatic corps, enjoys generally good relations with its neighbours and global trading partners, and plays a leading role in conflict resolution in the region. (EIU, Risk Briefing, September 2007).</t>
  </si>
  <si>
    <t>Despite the high level of security risk, the political system functions adequately and the mechanism for transfers of power is well established. Alvaro Uribe enjoys high approval ratings, thanks to improvements in public security, economic recovery and strong leadership. His re-election by a comfortable margin in May 2006 gave a mandate for policy continuity. Victory for his political allies at the March 2006 congressional election supports governability. Human rights groups continue to express concerns over the potential for abuses in the government's democratic security strategy. Mr Uribe and other public figures will remain assassination targets for the guerrillas. Ideological differences between the Colombia and Venezuelan governments may impede efforts to coordinate measures to curb border incursions by Colombian rebels into Venezuela. (EIU, Risk Briefing, September 2007).</t>
  </si>
  <si>
    <t>The fragmentation of political forces in the unicameral legislature hampers governability. Political jockeying ahead of the end-2007 elections increase the risks of instability and effectively rules out any chances of much-needed reforms being enacted before then. We expect Álvaro Colóm of the left-of-centre Unidad Nacional de la Esperanza (UNE) to lead the next government, which will take office in January 2008. However, it is unlikely that he will command a majority in Congress, meaning the need to build and maintain an unwieldy coalition from a fragmented party spectrum will continue to weigh on governability, impeding reforms. Soaring violent crime rates and widespread corruption will continue to test the authorities. Dealing with pressure groups will become increasingly problematic and could spark unrest. (EIU, Risk Briefing, September 2007).</t>
  </si>
  <si>
    <t>NGOs are among the most numerous (though not largest) microfinance providers. It is not difficult to open an NGO or a microcredit operation in regulatory and legal terms, though practical limits may exist in terms of fundraising prospects. (Personal interview, August 2007).</t>
  </si>
  <si>
    <t>Many NGOs operate in microcredit; MIX Market alone lists 15. Other non-regulated institutions providing microfinance are savings and credit cooperatives under the control of the Social Welfare Ministry, private informal lenders, and popular organisations that provide savings and credit services for their members. (Personal interview, August 2007).</t>
  </si>
  <si>
    <t>NGOs face no legal or regulatory restrictions in forming and operating. Fundraising can in practice be an issue, though there is a second-tier public institution that on-lends to non-regulated MFIs. (Personal interview, August 2007; Microfinance Gateway).</t>
  </si>
  <si>
    <t>Guatemala's courts are slow and inefficient with a large backlog of cases. The system is poorly administered and frequently corrupt. Efforts to make the judicial system more effective are part of the government's agenda, but progress is constrained by weak institutional capacity. Protection of intellectual property rights is improving following the tightening of legislation, but breaches remain frequent and are hard to prosecute. Most price controls have been abolished, but many goods and activities receive government subsidies. The legal code outlaws expropriation and practices that discriminate against foreigners, and is generally respected. There is no anti-trust legislation, permitting monopolies to operate in some sectors. (EIU, Risk Briefing, September 2007).</t>
  </si>
  <si>
    <t>The judiciary is inefficient and highly politicised, which means that contractual agreements are often not respected and the protection of property rights is limited. The Supreme Court's judges are affiliated to either the PLC or the FSLN. Supreme Court judges appoint judges to lower courts. Despite the implementation of the new criminal code at the end of 2002, the judiciary remains politicised—the judicial career law was amended in such a way by the legislature to justify the control of the FSLN and the PLC over the judiciary. Moreover, the renewal of the PLC-FSLN pact in 2005 has left the judiciary firmly under the control of the two parties. It is unlikely that the Ortega government will act to reform the judiciary. Red tape is pervasive and likely to remain a constraint on investment. (EIU, Risk Briefing, September 2007).</t>
  </si>
  <si>
    <t>A complex bureaucracy causes substantial delays in most legal procedures. In recent years, governments have taken steps to modernise the judicial system and curb widespread corruption. Six of nine Supreme Court judges were removed or resigned. Legal codes were reformed, leading to changes, such as the establishment of oral arguments and more modern investigations. However, these efforts will continue to be partly offset by remaining problems such as understaffed courts, lack of proper training and political patronage. Protection of intellectual property rights is poor. The risk of private property expropriation remains low, but may increase as pressure from peasant groups for land reform increases. There is no legal discrimination against foreign companies, but regulation of unfair competitive practices remains weak. Regulatory agencies for most sectors are still being established. (EIU, Risk Briefing, September 2007). There have been some recent efforts to streamline procedures for dealing with bad debts, and to improve contract enforcement. (Personal interview, August 2007).</t>
  </si>
  <si>
    <t>The transition to multiparty democracy is relatively recent. The one-party rule of the Partido Revolucionario Institucional (PRI) ended peacefully in 2000 with the election of President Vicente Fox of the Partido Acción Nacional (PAN). But while the transition from excessive executive authority to a more effective separation of powers will be beneficial for democracy in the long term, adapting to this shift will be a slow process. In the meantime, the agility of policymaking will be impaired. Also of concern is lack of public confidence in political institutions, as shown by doubts about the voting process and the electoral authority, IFE, since the 2006 presidential election. The intransigent stance taken by the losing presidential candidate, Andres Manuel Lopez Obrador, lost him support among moderate voters, but there is still a risk that hard-core supporters of the PRD leader will become increasingly radical in their opposition to the government, particularly when controversial reforms are presented. (EIU, Risk Briefing, September 2007).</t>
  </si>
  <si>
    <t>Governability will improve under president Daniel Ortega whose party controls 38 out 92 deputies in the National Assembly (his predecessor, Enrique Bolaños, controlled just four). Nevertheless, the FSLN will be in a minority position and need the support of the centre-right PLC, with whom it has had an informal cooperation agreement, or the centre-right ALN. It is not certain that the FSLN-PLC alliance will hold. The FSLN obtained support from the ALN to postpone until January 2008 the implementation of constitutional reforms passed in 2005 which curtail the powers of the executive in favour of the legislature. Progress on judicial and political reforms will be very slow. Political institutions will remain corrupt and weak. (EIU, Risk Briefing, September 2007).</t>
  </si>
  <si>
    <t>The lack of an alternation of power has been the main feature of the political scene for the past six decades. The Partido Colorado (PC) has governed the country uninterruptedly for 60 years (including General Alfredo Stroessner's 35-year dictatorship which ended in 1989). For the first time since the return to democracy, there is an opposition candidate—Fernando Lugo, a highly popular former priest—with strong chances to defeat whoever is the ruling party's candidate in the April 2008 presidential election. The president's, Nicanor Duarte Frutos, plans to reform the constitution to end a ban on presidential re-election were dropped as a result of a strong antagonist stance from the opposition towards him. This has weighed on governability because the PC has a majority in the Chamber of Deputies, but not in the Senate. The government has progressed on parts of its economic agenda, but has avoided unpopular measures in the face of social protest. Paraguay is involved in no major international disputes. (EIU, Risk Briefing, September 2007).</t>
  </si>
  <si>
    <t>Political stability risk will remain elevated in the coming years. The government, which took office at the end of July 2006, lacks a legislative majority; governability will be low. In comparison with unrest-prone neighbours Ecuador and Bolivia, there has been little development of organised anti-establishment social movements, and Peru's intra-regional tensions are less acute. Alan García will be helped by solid economic growth, but will face difficult decisions in the face of popular protest, particularly if the poor do not see the benefits of the country's rapid growth in the form of higher public investment. The armed forces do not pose a threat to stability; they are being investigated for abuses under the Fujimori administration (1990-2000). (EIU, Risk Briefing, September 2007).</t>
  </si>
  <si>
    <t>Economy-wide, Bolivia's accounting and auditing standards are limited in scope and, on those technical areas where they exist, diverge from IFRS and International Standards of Auditing (ISA). The IMF and other multilateral agencies are currently providing technical assistance to the government to speed the development of IAS, the professional capacity of auditors and accountants, and the use of IFRS by Bolivian companies. However, the SBEF has and enforces somewhat stricter standards among financial institutions, and there is considerable self-regulation among NGOs through voluntary associations. (Deloitte/IAS PLUS; Heritage Foundation, Index of Economic Freedom; MIF Donor Memorandum, November 2006; personal interview, August 2007).</t>
  </si>
  <si>
    <t>Companies listed on Novo Mercado section of the stock market must use GAAP. Elsewhere, international standards or transparent local standards that are readily interpreted and moving in direction of international norms are used. Starting in 2010, all listed companies and financial institutions must use IFRs, which are not permitted for non-listed corporate entities. (EIU, Country Commerce, August 2007; Deloitte/IAS PLUS).</t>
  </si>
  <si>
    <t>Chile uses national standards that are converging toward international norms. EIU’s Risk Briefing ranks integrity of accounting practices as medium-high. in January 2006 the SBIF issued detailed instructions for the adoption by banks of full IFRS, which became mandatory for all their accounts from the start of 2007. All other companies are due to follow suit from the start of 2009. Among non-regulated institutions, those that receive funds from the state development agency CORFO are subject to stricter accounting regulation and thus have more consistent standards. (IAS PLUS/Deloitte; personal interview, August 2007; EIU, Country Finance, May 2007).</t>
  </si>
  <si>
    <t>Specialised capacity has increased somewhat in recent years. In June 2004 the Monetary Council passed Resolution JM–64–2004, which introduced significant changes in the way a bank’s risk exposure is calculated. In classifying, evaluating and calculating reserves, the new legislation separates big business creditors from smaller creditors (micro-credit, consumer loans, mortgages and other business loans), in order to enable a more rigorous analysis of the most substantive part of a bank’s credit portfolio. The Mexican commercial bank, Banco Azteca, was given authorisation in February 2006 to operate in Guatemala, specialising in micro credit for the low-income population with minimal credit backing; the bank began operations in early 2007. Despite such developments, specialised supervisory and regulatory capacity remains weak in the absence of a law on microfinance that would require the SB to develop such capacity. State support for microfinance activities through second-tier institutions is sorely lacking. (EIU, Country Finance, December 2006; Personal interview, August 2007)</t>
  </si>
  <si>
    <t>CNBV is strong as a general banking regulator, having helped restore the health of banks after the financial crisis of the mid-1990s. However, its admitted incapacity for regulating and fostering microfinance led to the delegate supervision structure that builds on traditional cooperative federations for the specialised MFIs now being created (some are existing federations, some are being newly created). Although microcredit regulation advanced after the 2001 law, it is still confusing, with different rules for different institutions, a confusing array of institutions that causes many entities to work simultaneously under different juridical forms, difficulties in distinguishing consumer lending and microcredit, and several successive deadline extensions for status transformation. CNBV and BANSEFI, the transformed state bank created to oversee the upgrading of institutions and promote their activities under the 2001 law, have also experienced conflicts, most recently over the speed of authorisations. BANSEFI has favoured the more rapid approval of new entities. Despite less take-up of the SOFIPO form than had been hoped, the World Bank has opined that the law's implementation is “ahead of schedule", based in part on the numbers of finance companies achieving financial self-sufficiency ratings. One of BANSEFI’s most important tasks as a non-supervisory development bank for microfinance is linking EACPs to information technology, service points and transfer services via L@Red de la Gente. (Meagher et al, 2006; personal interview, August 2007).</t>
  </si>
  <si>
    <t>Efforts to transition to IAS have met with continued delays and roadblocks. IFRS are not permitted for either listed or non-listed firms. Inflation-adjusted accounting for tax purposes was, however, eliminated by Law 1111 of 2006. EIU’s Risk Briefing scores Colombia low on integrity of accounting practices. (Deloitte/IAS PLUS; EIU, Country Commerce, January 2007).</t>
  </si>
  <si>
    <t>In the economy as a whole, the Institute of Certified Public Accountants adopted IAS in 1999. IFRS are required for both listed and non-listed firms economy-wide. Accounting and auditing standards for the financial sector, in line with international norms, are set by the Superintendency, and were strengthened in recent years. A 2004 IFC report on Dominican accounting found problems with financial groups (eg, lack of consolidated financial statements), a need to strengthen the accounting profession, some slowness in adopting the latest international standards, and weak enforcement. Closures of several banks in recent years have raised concerns about the quality of financial reporting. Standards at NGOs are uneven, though there is some self-regulation. (IFC, Report on Observance of Standards and Codes, December 2004; Deloitte/IAS PLUS; Interamerican Accounting Association; Personal interview, August 2007).</t>
  </si>
  <si>
    <t>International standards have been required in Ecuador's dollarised economy since 1996. IFRS are mandatory for all listed companies. The Banking Superintendency has established and enforces strict standards for regulated institutions. Since accounting standards at NGOs depend more on self-regulation and the requirements of external funders, there is more variation and unevenness (Inter-American Accounting Association; IAF PLUS/Deloitte).</t>
  </si>
  <si>
    <t>The fall-out from the financial collapse of 2001-02 will be reflected in a lingering credit squeeze. Though profitability returned in 2005-06, banks' balance sheets remain weak and their solvency is linked to that of the public sector as government bonds still account for just over 20% of the system's total assets. The full rehabilitation of the financial system will be a protracted process and the availability of loans for productive activities, scarce even in the 1990s, will be restricted in the main to short-term working capital. The government may try to revive the role of state-owned banks in providing credit to productive sectors although fiscal constraints will restrict the amount of resources available. There is still some uncertainty over whether banks will receive compensation for having followed court judgements and reimbursed some investors who had savings in dollars before the crisis. The level of dollarisation in the financial system is low, reducing the risks of currency mismatches. (EIU, Risk Briefing, September 2007).</t>
  </si>
  <si>
    <t>Despite consolidation and improved regulation, the financial sector remains small and inefficient and the local stock market mainly trades fixed-term government bond issues. However the lack of deep financial markets provides a cushion from the risk of sudden currency swings caused by external shocks. Since mid-2005, the Central Bank has widened the spread between the buying and selling rates of US dollars, contributing to a reduction in the level of economic dollarisation. By end-May 2007, around 80% of all long-term bank private deposits were held in foreign currency, still a very high percentage but less than the 88% registered in December 2005. The monetary authority is expected to continue pursuing measures that lead to a reduction in economic dollarisation. The level of past-due loans also remains high, but decreased from 16.7% at end-2003 to 8% in May 2007. (EIU, Risk Briefing, September 2007).</t>
  </si>
  <si>
    <t xml:space="preserve">The Superintendency has improved its general financial regulation and supervision. After intervening in or closing several insolvent banks in the early 2000s under international pressure, the Superintendency has tightened accounting rules, strengthened loan provisioning standards and beefed up its inspection regime. It pushed domestic banks to adopt US best-practice accounting rules for asset valuation when making loans and to adhere to tighter rules for loan provisioning. However, it lacks considerable specialised capacity or expertise in regulating microfinance, or—pending the passage of long-delayed microfinance regulations by the legislature—a specific legal mandate to develop such capacity and expertise. (EIU, Country Finance, February 2007; Microfinance Gateway; Personal interview, August 2007) </t>
  </si>
  <si>
    <t>With technical assistance from multilateral agencies, the Banking Superintendency has developed in recent years a small group of staff with specialised knowledge of the sector within its oversight office for non-banking institutions. There is no special microfinance office or department per se. Supervisory capacity, including development of appropriate methodologies for evaluating microcredit, is modest but improving. (Personal interview, August 2007).</t>
  </si>
  <si>
    <t>The financial sector is recovering well from the crisis of 1998-99. It is still affected by distortions such as compulsory lending to favoured sectors, special deposits, surcharges and a tax on financial transactions. Following the crisis, regulatory changes have been made and supervision has improved. Banks have returned to profitability and are fully provisioned against bad loans, but their heavy holdings of government debt are a concern. The stock market boomed in 2003-06 and is vulnerable to a fall. Firms fear enhanced tax scrutiny that a listing brings; while demand from local private pension funds is restricted. The local-currency bond market is dominated by public-sector debt, leaving little room for corporate issues. (EIU, Risk Briefing, September 2007).</t>
  </si>
  <si>
    <t>The availability of finance from the domestic banking system is limited and foreign companies (as well as large domestic companies) tend to rely more on external financing through correspondent banks. The market for investment financing is shallow and expensive, and companies needing to borrow for an extended period tend to seek dollar financing. Access to external financing has eased since 2003-04 in the wake of a banking crisis and associated currency and price instability. Amid an easing of local interest rates, credit to the private sector picked up in 2006, growing by 16%, and has accelerated further in 2007. Despite improvements in regulation and supervision since 2005, concerns prevail over corporate governance and asset quality at private banks. The country's very small stockmarket is unlikely to grow significantly until the very long term. (EIU, Risk Briefing, September 2007).</t>
  </si>
  <si>
    <t>The availability of investment finance has long been restricted by tight monetary policy and high lending rates. Nevertheless, real interest rates now appear to be on a sustainable downward trend, and the domestic capital markets are gradually deepening. Even so, most local-currency loans are expensive and short-term. The private banks are well managed, well capitalised and profitable, but heavily exposed to government paper. The equity and corporate bond markets have strengthened in the past five years and in the long term will offer alternative financing opportunities for local and foreign companies. For now, however, they remain small and relatively illiquid. (EIU, Risk Briefing, September 2007).</t>
  </si>
  <si>
    <t>Chile will remain one of the few emerging countries where companies with good credit ratings have access to a range of medium- and long-term local currency borrowing options. Simplified tax treatment has allowed the creation of a commercial paper market, while the elimination of taxes on crossborder intermediation will enable local banks to expand their operations abroad, particularly in foreign trade financing. The banking system is well capitalised and prudently managed, and surpasses Basle capital adequacy norms. Although banks are well placed to withstand a moderate deterioration in credit conditions, a combination of global risk aversion and Chilean banks' net foreign asset position could weigh on their financial soundness indicators. Corporate and consumer lending growth will slow as domestic interest rate rises take effect. With a market capitalisation rate of around 120% of GDP, the stockmarket is very liquid. (EIU, Risk Briefing, September 2007).</t>
  </si>
  <si>
    <t>For listed firms in the economy as a whole, the capital market reform of 2001 provides for charters, information to shareholders, voting rights, minority rights, mandatory tender offers once 35% of shares acquired by single purchaser, rights to fair price in de-listings and squeeze-outs, and independent audit committees. But some firms have de-listed to avoid these rules, and enforcement of them through the judicial system remains lengthy and cumbersome. Argentina receives a 4.7 out of 10 score on the World Bank's Doing Business (2006) investor protection index, compared to a 5.1 regional average and a 6.0 OECD average. It scores at about the regional average for shareholder ability to sue (6.0), above the average for disclosure (6.0), and well below the average for director liability (2.0). The two classes of non-regulated institutions—NGOs and SAs—face only minimal regulation and supervision: they are required to submit financial statements and reports to the General Inspectorate of Justice and Provincial Directorates of Juridical Persons. (OECD, Latin America CG Roundtable, 2005; Curat et al, 2007; EIU, Country Finance, 2005, 2006, 2007).</t>
  </si>
  <si>
    <t>Economy-wide, general requirements are weak to non-existent, except for in some recently privatised companies. But banking regulations include governance requirements for regulated financial institutions, including creation of audit committees, participation of directors on credit committees, regulation of activities of internal supervisors and rotation of external auditors. There is good awareness among regulated MFIs of the importance of observing these standards. Among non-regulated MFIs the NGO voluntary association plays an important role in promoting self-regulation and spread of best practices. (OECD, White Paper on Corporate Governance in Latin America, 2003; personal interview, August 2007).</t>
  </si>
  <si>
    <t>Dollarisation has improved market confidence and banks are gradually re-establishing themselves as financial intermediaries following the systemic collapse of 1998-99 but credit will remain scarce for most businesses. Public confidence in the banking system has improved in recent years and deposits have picked up. Having been overcrowded, the market is now dominated by four big banks and suffers from a lack of competition. Credit availability is stunted because private banks must maintain high liquidity levels, due to the absence of a lender of last resort in the dollarised financial system. Most deposits are in instantly accessible current accounts, so a dip in confidence in the financial system could prompt a run on deposits. (EIU, Risk Briefing, September 2007).</t>
  </si>
  <si>
    <t>Following the passage of a law legally fixing the exchange rate to the US dollar at c8.75:US$1 from January 2001, exchange-rate volatility is a function of US dollar volatility. The local financial market remains fairly illiquid, but low financing rates have been available to large foreign corporations. The financial system is generally sound, although smaller institutions' higher operating costs mean that consolidation in the banking sector is likely to continue in the next several years. If this consolidation process goes too far, borrowing costs may rise as competition declines. Equity finance is scarce; most companies raise capital through debt issuance. (EIU, Risk Briefing, September 2007).</t>
  </si>
  <si>
    <t>The quetzal has appreciated in real terms against the US dollar since 2001, but could weaken suddenly: economic fundamentals are not particularly favourable, with only modest improvements in exports, economic growth and the terms of trade. Guatemala offers an extremely shallow market for corporate finance. Even so, financial deregulation in the early 1990s has allowed lightly regulated finance houses to flourish, increasing the availability of credit for consumers. Weak regulation allows financial groups to engage in connected lending. Non-performing loans remain high (5.8% in January 2007) and are under-provisioned, but they are down from 15.1% in May 2002. The stockmarket is highly illiquid, dealing almost entirely in government debt. (EIU, Risk Briefing, September 2007).</t>
  </si>
  <si>
    <t>The reduction of Mexico's external vulnerabilities in recent years has been reflected in greater currency stability. Although a modest peso depreciation is likely, broad stability will be underpinned by a sizeable reserves cushion, strong export earnings and buoyant inflows of worker remittances. Mexican companies have increased their default risk by borrowing substantially from abroad since the start of the decade. The banking sector has recovered from its 1995-96 crisis, and is now growing rapidly, following restructuring, the entry of foreign players and the overhaul of the legal framework. But at less than 20% of GDP, lending to the private sector is still underdeveloped. In the past two years, banks' emphasis has been on consumer and mortgage credit, but improvements in bankruptcy legislation are starting to result in an expansion of bank exposure to the productive sector. (EIU, Risk Briefing, September 2007).</t>
  </si>
  <si>
    <t>Pursuant to the revised Corporate Law of 2001 (which also covers financial institutions), the Securities Commission (CVM) published voluntary governance standards in 2002. Corporate entities (sociedades anônimas—SAs) are requested, but not required, to report on their non-compliance, which is not punishable. Many have begun to do so. The World Bank's Doing Business (2006) scores Brazil a 5.3 out of a maximum 10.0 on its investor protection index, compared to a regional average of 5.1 and an OECD average of 6.0. The country is rated above the regional average on disclosure and director liability (5.0 and 7.0, respectively), but below average on shareholder ability to bring suits (4.0). (EIU, Country Commerce, August 2007).</t>
  </si>
  <si>
    <t>Reaching completion point under the HIPC initiative has bolstered international reserves and the currency as it entails balance of payments support. The risk of a devaluation and debt default have therefore diminished. Borrowing costs in Nicaragua are high because the financial markets are shallow. There are few banks, all owned by local interest groups, and the quality of borrowers is poor. The financial system has suffered a number of bank collapses over the past few years, including the forced intervention of one of the largest banks, Banco Nicaragüense (Banic). Bank assets are predominantly in the form of central bank paper. (EIU, Risk Briefing, September 2007).</t>
  </si>
  <si>
    <t>Poor banking regulation has brought several banking crises since the deregulation of the sector in 1991. Regulation has improved modestly, but banks remain reluctant to lend. Credit to the private sector has been stagnant, at around 13% of GDP, since 2003, despite a substantial fall in the level of past-due loans. Although the costs of financial intermediation have declined since 2003, spreads in local currency remain high. Increased confidence in the guaraní has been reflected in a smaller proportion of credit to the private sector issued in US dollars (47% of the total in April 2007, from 60% at end-2002). However, the sector is still vulnerable to the risk of currency devaluation. Efforts to reform the state banking sector will be hampered by the political opposition's increasingly antagonistic stance towards the government. The Asunción stock exchange is expanding, but further growth will be constrained by family enterprises' fear of losing majority control of assets in public offerings. (EIU, Risk Briefing, September 2007). Lack of fund-raising opportunities in capital markets is one obstacle preventing non-regulated institutions from upgrading into finance companies. (Personal interview, August 2007).</t>
  </si>
  <si>
    <t>There are no specialised juridical vehicles for microfinance in Argentina. Although the figure of cajas cooperativas de crédito (credit co-operatives) has been created as a means to channel credit to micro, small and medium-sized enterprises (and one that could also capture deposits), implementing regulations have not been adopted and no applications have been received. The vehicle appears unattractive to NGOs and sociedades anónimas (SAs) seeking to upgrade because of its co-op (closed) status, geographical restrictions and lack to date of any customised risk management and credit evaluation system for low-income clients. For their part, the two principal types of non-regulated institutions (NGOs and SAs) face considerable difficulties in upgrading (minimum capital, lack of more specific risk categories etc). (Personal interview, August 2007; Curat et al, 2007).</t>
  </si>
  <si>
    <t>The SBEF created FFPs in 1995 as an attractive vehicle to encourage NGOs with strong lending operations to transform themselves into regulated, specialised MFIs. They are allowed to take deposits, can more easily access wholesale funds and commercial capital, and spur more efficient management. Some NGOs have created or transformed themselves into FFPs. (Microfinance Gateway; Meagher et al, 2006; personal interview, August 2007).</t>
  </si>
  <si>
    <t>There is no specialised microfinance vehicle for greenfield or upgraded operations. Although it is possible for NGOs to upgrade, in practice their ability to meet the minimal capital, provisioning and other requirements is low. (Padilla and Gillet, 2001; personal interview, August 2007).</t>
  </si>
  <si>
    <t>Notwithstanding the current boom in lending resulting from captive liquidity, government borrowing will continue to crowd out productive lending. In 2006, commercial bank lending to the private sector was estimated at less than 10% of GDP, low even by regional standards. Even for the most creditworthy corporations long-term finance will remain hard to secure. The government will attempt to enforce the expansion of credit to certain sectors, such as agriculture. But financial intermediation is not set to develop in a sustainable fashion until confidence in macroeconomic prospects is underpinned by a track record of reform and stability. In the past, large companies have raised finance internationally but this is now more difficult, as exchange controls hamper access to foreign currency for the payment of interest and amortisation obligations. The Caracas stock exchange is small and illiquid and likely to remain a poor source of corporate finance. (EIU, Risk Briefing, September 2007).</t>
  </si>
  <si>
    <t>There is no special-purpose microfinance vehicle. Some finance companies place a significant portion of their portfolio in microfinance, but still tend to operate well beyond microfinance. In principle, NGOs can upgrade to become finance companies and eventually banks. Yet very few (such as Banco Caja Social) have done so among Colombia's numerous NGO-based MFIs. Costs to comply with corporate tax and regulatory burdens and non-prudential regulation are high; the required minimum capital is restrictive (about US$27.5m for banks and US$7.1m for finance companies, at August 2007 exchange rates); and usury restrictions on interest rates at regulated institutions do not apply to NGOs. (Microfinance Gateway; personal interview, August 2007).</t>
  </si>
  <si>
    <t>Corporate finance is widely available, but costly. Banks' lending portfolios have strengthened since 2002, and non-performing loans had fallen to 1.6% of commercial banks' portfolio by June 2007, according to the banking regulator. However, banks remain wary of lending to small and medium-sized businesses, and will continue to remain cautious until they build up their capacity to assess credit risks. It is difficult for informal sector businesses to access bank lending. There are few restrictions on foreign-owned firms gaining access to the domestic market. The risk of a crisis in the banking system is low: the banking sector has proved resilient in the face of several shocks in recent years as supervision has strengthened and as foreign banks have become more involved. Three-quarters of all bank deposits are in the hands of four banks, and consolidation has helped to shore up the strength of the sector. (EIU, Risk Briefing, September 2007).</t>
  </si>
  <si>
    <t>The government is focusing on completing the reforms of the Banco de la República Oriental del Uruguay (BROU), the state commercial bank, and the Banco Hipotecario del Uruguay (BHU), the state mortgage bank. These reforms made significant progress under President Batlle but were held up by opposition from the bank employees union and lack of political support in parliament. The government has also divested its stake in the Nuevo Banco Comercial (NBC) and is improving the supervisory framework. Despite the progress made, confidence in the sector remains fragile—witness the temporary closure in 2006 of cooperative bank Cofac owing to inadequate capitalisation—and further delay to these reforms will leave the financial sector vulnerable to future shocks. (EIU, Risk Briefing, September 2007).</t>
  </si>
  <si>
    <t>By carefully defining microcredit, risk categories, and provisioning requirements, the regulatory framework facilitates the formation and operation of significant number of specialised institutions among all the major formal categories (ie, banks, financial associations, credit unions etc).  Upgrading of NGOs is also possible, and some NGOs have recently becomes financial associations (sociedades financieras).  Since the legal framework regulates the activity of microfinance rather than specific types of institutions, the promotion of a specific juridical vehicle to promote microfinance specialistion is unnecessary. (Personal interview, August 2007; Microfinance Gateway; Microfinanza, July 2006).</t>
  </si>
  <si>
    <t>In February 2004 the first Reciprocal Guarantee Society (Sociedad de Garantía Recíprocas—SGR) was created. These financial institutions are supervised by the Financial Superintendency and have minimum capital requirements. Their main task is to accept the debt of and grant credits to microenterprises and small and medium-sized companies. NGOs can transform themselves into savings and credit associations under the Financial System Commission’s supervision, though they must meet fairly strict requirements (capital, provisioning by risk category etc) (Microfinance Gateway; personal interview, August 2007).</t>
  </si>
  <si>
    <t>Although in principle it is possible, regulated greenfield NGOs have not emerged and it is difficult for NGOs to upgrade. High minimum capital requirements and the lack of specific risk categories and provisioning requirements for microfinance are among the multiple obstacles. Pending laws would address some of these obstacles, but passage is highly uncertain. Savings and credit cooperatives are regulated institutions, but they are not specialised in microfinance. They engage in a great deal in consumer lending, and for members only. (Personal interview, August 2007; Microfinance Gateway).</t>
  </si>
  <si>
    <t>The slow and ineffectual judicial process and weaknesses in the regulatory framework are the main contributors to legal and regulatory risk. The risk that a contract will not be enforced is moderate. The national business lobby has won tax and regulatory concessions, but overt discrimination against foreign companies is minor, and is likely to recede further with the entry into force of DR-CAFTA in March 2007. There is little risk of expropriation of assets, and protection of private property is fairly effective. The judiciary is weak and prone to corruption, though the Supreme Court is regarded as being reasonably independent. However, the regulatory framework in sectors such as energy is subject to changes, and political interference in regulatory bodies, as evidenced by the handling of the 2003 banking crisis, prevails. The practice of dual accounts in companies for tax evasion purposes is common. Protection of intellectual property rights is poor, but likely to improve. (EIU, Risk Briefing, September 2007).</t>
  </si>
  <si>
    <t>The judiciary is highly politicised and bribery is a major problem. Property rights are protected by legislation but enforcement is weak. There is effectively no competition or anti-trust law enforcement. Regulators are subject to political pressure. Many sectors of the economy are monopolistic, although there are recent signs of improved competition in some sectors such as telecoms and brewing. There are practical barriers to foreign competition, and many foreign investors have received unfair treatment. Following a long-standing dispute, the government announced in May 2006 the annulment of US oil company Occidental's contract. Intellectual property protection is improving, although serious deficiencies remain. (EIU, Risk Briefing, September 2007).</t>
  </si>
  <si>
    <t>Under various Supreme Decrees (22409 of 1990, 26140 of 1991and 26973 of 2003), not-for-profit private institutions or juridical persons—whether domestic or foreign, religious or secular—that undertake development- or aid-oriented activities using government or external funding, may provide unlicensed financial services. Many NGOs have unregulated microfinance operations. In addition, under the General Law for Cooperative Societies (1958), Regulations of Financial Activities for Credit Unions (1993), and Supreme Decrees 24439 (1996) and 25703 (2000), closed cooperatives may provide member-only financial services. This particular type of cooperative constitutes a supplemental liability credit and savings unions that only performs financial operations for its members, lacks a financial operating license, and is regulated by the SBEF. The National Institute of Cooperatives (INALCO) authorises and supervises closed cooperatives. NGOs face no taxes on their MFI operations. (Microfinance Gateway; personal interview, August 2007).</t>
  </si>
  <si>
    <t>"Traditional" NGOs that have not turned into OSCIPs or SCMs face constraints such as usury laws (including a 1% cap on monthly interest charges) and lack of access to many public funds. They undergo little official oversight and no financial supervision. (Personal interview, August 2007; Meagher et al, 2006)</t>
  </si>
  <si>
    <t>NGOs mostly operate in the capital, Santiago, and they are very small. They enjoy certain fiscal advantages vis-à-vis regulated institutions, and if they meet certain conditions (accounting standards, audits etc) can access state funding lines. They are lacking in the capital and expertise to upgrade to regulated status, and do not have strong incentives to do so. (IDB internal project document, n.d.; personal interview, August 2007; Padilla and Gillet, 2001).</t>
  </si>
  <si>
    <t>Judicial corruption was endemic under the Fujimori regime, and efforts to clean up the system will take years, with the judiciary the least trusted of all public institutions. Although the legal system is less politicised now, domestic courts still lack impartiality and strength. A judicial reform commission was set up in 2004 but its recommendations have largely been ignored. Many judges are open to bribery, the justice system is ineffective and increases in spending have brought little result because money has been absorbed by the bureaucracy and in higher salaries. Litigation to recover debts can cost up to half the amount being contested, leading businesses to prefer trusted suppliers and customers, and discouraging competition. Decentralisation should lift transparency and accountability in the political process. Despite solid legislation, intellectual property rights are still violated, due to under-policing. (EIU, Risk Briefing, September 2007).</t>
  </si>
  <si>
    <t>Uruguay's judiciary is independent, but the trial process is slow and decisions are often opaque. Regulatory risk is high because productive activity is heavily influenced by large state-owned institutions with substantial sway over regulatory policy. The practice whereby regulators sometimes give domestic companies preference over foreign ones will probably continue. Intellectual property rights are recognised, but weakly enforced. (EIU, Risk Briefing, September 2007).</t>
  </si>
  <si>
    <t>It is difficult to form and operate NGOs in microfinance, in part due to the lack of availability of international financing for such activities in Venezuela. The government also fills directly some of the most logical niches for such organisations. Consequently, there is very little NGO activity in microfinance. (Personal interview, August 2007).</t>
  </si>
  <si>
    <t>Specialised expertise and methodologies for microfinance are completely lacking, and three institutions compete with each other in shaping the sector in practice—the Central Bank/Financial Superintendency, Ministry of Finance and Ministry of Social Development. This creates considerable confusion, and the latter Ministry is tied to an approach involving heavy use of subsidies. The only initiatives to try to disseminate best practices come from efforts by groups of institutions engaged in microfinance themselves, not from regulators. (Curat et al, 2007; personal interview, August 2007).</t>
  </si>
  <si>
    <t>Since the late 1980s the SBEF has pursued a gradual market-based approach to building an MFI sector, based on considerable technical expertise and professionalism, setting of high and transparent standards, and development and refinement of advanced methodologies for evaluating solvency and risk management that are appropriate to particular types of lending institutions, borrowers and services. Activity-specific, rather than institution-specific, provisioning requirements (by type of borrower and loan status) create a flexible and nimble framework. The SBEF's Administration for Non-Banking Entities (IENB) has developed field inspection and supervision policies customised for microfinance (including for the BancoSol, which is technically a bank but is also under its supervision). The SBEF has a subdepartment for microfinance and specific reporting requirements for microfinance. Bolivia is widely considered a model of successful, innovative regulation and supervision. (Meagher et al, 2006; Microfinance Gateway; de Janvry et al, 2003; personal interview, August 2007).</t>
  </si>
  <si>
    <t>Economy-wide, IAS were adopted in 2003, applicable to financial statements issued from July 2004 onward. IFRS are required for all listed and unlisted corporate entities. After it intervened in and closed several banks in the early 2000s under international pressure, the Superintendency has pushed domestic banks to adopt US best-practice accounting rules for asset valuation when making loans and to adhere to tighter rules for loan provisioning and strengthened its on- and off-site inspection regime. Although neither NGOs nor credit unions are subject to these standards, self-regulation through voluntary associations and in response to international funders has made for some progress toward international norms. (IAS PLUS/Deloitte; Interamerican Accounting Association; Personal interview, August 2007; EIU, Country Finance, February 2007).</t>
  </si>
  <si>
    <t>Though IAS are in principle obligatory for banks and finance companies as regulated corporate entities, IFRSs are optional. However, a 2006 IFC study found that "Paraguay has an incomplete, fragmented, and loosely enforced statutory framework for accounting and auditing." It also found that "within the supervised sector, the quality of standard setting, compliance with standards, and supervision of compliance is uneven and the regulation in place is fragmented." Most corporate entities resort to tax reporting norms (which are laxer) rather than IAS. As non-regulated institutions, credit unions and NGOs are not bound by any standards or enforcement mechanisms, and have uneven practices. (IFC, Report on the Observance of Standards and Codes in Paraguay, June 1st 2006; Deloitte/IASPLUS; Inter-American Accounting Association; personal interview, August 2007).</t>
  </si>
  <si>
    <t xml:space="preserve">IAS were adopted by Peru economy-wide in the late 1990s, and IFRS are required for all listed firms. With enforcement in the hands of SBS, IAS are generally in use in regulated financial entities. The SBS has developed detailed accounting standards for financial institutions for both regulatory and general-purpose financial reporting; though they are generally in line with international standards, a few of the standards adopted for the latter purposes are out of line with IFRS. In non-regulated institutions, accounting standards are subject to considerable self-regulation and dissemination through best practice via voluntary NGO microcredit associations; in practice, they vary somewhat. (Deloitte/IAS Plus; Procapitales; CONASEV; IFC, Report on the Observances of Standards and Codes, June 2004; Personal interview, August 2007). </t>
  </si>
  <si>
    <t>National standards are used economy-wide, with IAS used on a supplementary basis. However, among financial institutions, two sets of books are required, one following national standards (eg, inflation accounting) for tax treatment and another following IAS for disclosure and reporting. IFRS are required for all listed companies, and beginning in 2007 they are also required for unlisted companies. Since 1996, Sudeban requires banks to distinguish between short- and long-term investments, classify investments based on risk, readjust investments to reflect market value each month, and bolster their provisions for bad loans. Since most microfinance activities are run by banks or bank affiliates, accounting standards are thus generally solid and uniformly regulated in the microfinance sector (Deloitte/IAS PLUS; Interamerican Accounting Association; EIU, Country Finance, July 2007).</t>
  </si>
  <si>
    <t>In 2002 the abandonment of the currency board and its associated dislocations, including the conversion into local currency of dollar deposits, shattered confidence in the rules of the game built up over the previous decade. Restoring confidence and rectifying the setbacks of recent years will be a gradual process. Mr Kirchner will seek to reconcile the demands of maintaining strong political support with undertaking reforms needed to lay the basis for sustainable economic growth. Moves to reform the Supreme Court and the police were early examples of a drive to reform institutions which has since lost momentum. The government will move slowly to re-establish permanent contracts with owners of privatised utilities. Currently, the most immediate regulatory risk to business comes from government intervention in the form of compulsory price agreements, which the government began to use to combat inflation in late 2005. The government is bent on enforcing price controls until October 2007 and perhaps beyond. (EIU, Risk Briefing, September 2007).</t>
  </si>
  <si>
    <t>Judicial reforms implemented since 1998 have increased judicial independence and improved the reliability of verdicts. The creation of a Constitutional Tribunal has provided a second appeals body through which decisions by the Supreme Court can be challenged. The introduction since 2000 of new criminal and civil codes has increased the efficiency and transparency of legal proceedings. However the public prosecution service and police are under resourced and legal actions are slow. Corruption and political interference with judicial processes have been reduced, but remain pervasive. Despite agreements with the US and other countries on intellectual property rights enforcement, it remains poor. (EIU, Risk Briefing, September 2007).</t>
  </si>
  <si>
    <t>Argentina has suffered episodes of political instability in the recent past, usually triggered by extreme economic stress. With the economy now much more robust, the risk of an unforeseen change of government or serious political crisis is low. Néstor Kirchner has strengthened his position since his inauguration in May 2003. Mr Kirchner has succeeded in significantly weakening his opponents within his own party and has built a broad political alliance. His control over Congress was evident in 2006: several highly controversial bills have been approved by comfortable majorities, entailing the support of legislators and provincial governors previously opposed to him. Mr Kirchner's wife, Cristina, is well-positioned to win election in October 2007, but this would raise concerns about transparency and institutions given the tendency to concentrate power in the presidency. (EIU, Risk Briefing, September 2007).</t>
  </si>
  <si>
    <t>Two decades of democratic government and peaceful transitions of power ended in a turbulent period which saw the resignations of two presidents in 2002-05. This underlined the fragility of the political system and the discontent among indigenous people who, despite accounting for the majority of the population, have been underrepresented. Governability has deteriorated recently; as clashes between the government of the president, Evo Morales, from the Movimiento al Socialismo (MAS), who took power in January 2006, and the opposition have increased markedly. Tensions are likely to rise as a delayed process of constitutional reform, which is expected to be completed by end-2007, gets underway. Constitutional reform may lead to new general elections in 2008, in which case Mr Morales, whose popularity remains high, is likely to be the frontrunner. But this would not prevent the emergence of isolated conflicts that may threaten governability, as interests in domestic politics will remain extremely polarised. (EIU, Risk Briefing, September 2007).</t>
  </si>
  <si>
    <t>After a period of political turmoil and heightened social tensions in 2002-04, the country has regained stability under the leadership of Leonel Fernández. The presidency wields excessive discretionary power and reforms to strengthen government and electoral institutions are needed. After the May 2006 congressional election, the ruling PLD has a majority in Congress. Relations between the executive and the opposition PRD and PRSC should be workable in the medium term, but may deteriorate as the 2008 presidential election approaches. Despite efforts to strengthen the electoral authorities, a close result could lead to a dispute. Social unrest has receded but deterioration in the economy or government attempts to increase electricity prices or crack down on electricity theft may cause protests. The potential for spillover from the chronic crisis in neighbouring Haiti will continue to pose challenges. (EIU, Risk Briefing, September 2007).</t>
  </si>
  <si>
    <t>After a convincing win in the run-off presidential election held in November, the populist left-winger Rafael Correa took office in January 2007. Although electoral uncertainty has abated—at least for the time being—political risk is likely to remain high in the outlook period. Mr Correa has promised sweeping reform and is attempting to establish a constitutional assembly with powers to dissolve Congress and restructure the judiciary. This will heighten policy instability during 2007-08. Strong rivalry between coastal and highland political and economic elites, and strong demands for regional autonomy, especially in Guayaquil, will also undermine stability. (EIU, Risk Briefing, September 2007).</t>
  </si>
  <si>
    <t>Antonio Saca of Arena, who assumed the presidency in June 2004, will provide policy continuity and political stability. Nevertheless, some public demonstrations against the pro-US, pro-free-trade stance of the Arena government are likely to persist. Public frustration with levels of violent crime and public-sector corruption could all generate a rise in social unrest. Rising anti-privatisation sentiment, which largely reflects a failure of privatised utilities to reduce prices as expected, could do the same. Taxes could be increased in the forecast period to help close the fiscal gap, providing another potential trigger to social unrest. (EIU, Risk Briefing, September 2007).</t>
  </si>
  <si>
    <t>The political environment is stable. The rules governing transfer of political powers are clearly established and accepted, and will continue to operate smoothly. The governing Concertación coalition retained the presidency in January 2006, and will remain in power for a four-year term. Internal debate within the two main political coalitions has always been vigorous, but there are signs that dissent within the ruling Concertación might lead in the long term to a shift in the political make-up of the country. If such a change does happen, it would not herald a change in governability or policy direction, but in the relative composition of the main coalitions. The armed forces are subject to the democratic authorities, and a coup attempt is very unlikely. Labour organisations have been strengthened as a result of labour reforms, but there is little risk of violent demonstrations. International relations are peaceful, although relations with Bolivia, Argentina and Peru have been strained in recent years. (EIU, Risk Briefing, September 2007).</t>
  </si>
  <si>
    <t>The principles of respect for private property, protection of copyright and free operation of the markets in setting prices are fairly well established in Mexico, and a consensus exists around consolidating them. Foreign companies receive the same treatment in most respects as local ones, and the danger of expropriation is negligible. Nevertheless, where disputes do arise the judicial system is extremely slow and inefficient in dealing with them, and sometimes corrupt. The government's efforts to institutionalise transparency and to reduce the scope for discretionary action involve complex challenges but slow advances are being achieved. But in the meantime, the performance of regulatory bodies is patchy largely because they tend to lack effective autonomy. (EIU, Risk Briefing, September 2007).</t>
  </si>
  <si>
    <t>Some 35 NGOs operate in Guatemala. Of the 16 Guatemalan MFIs evaluated by MIX Market, 15 are NGOs. It takes no more than four months and 3,000-5,000 quetzales to register an NGO. Those that receive only private funds are not subject to the supervision of the fiscal authorities. (Personal interview, August 2007; Real Instituto Alcano, April 15, 2004).</t>
  </si>
  <si>
    <t>NGOs face no significant obstacles in formation and operation, though they have sought legislation that would enable them to mobilise savings. (Microfinance Gateway; Personal interview, August 2007).</t>
  </si>
  <si>
    <t>The legal framework permits NGOs to engage in microfinance as non-regulated institutions. However, with this status they cannot take deposits backed by government deposit insurance, and in practice they also face non-regulatory obstacles in raising sufficient funds in capital markets for expansion. One NGO (Fundación Paraguaya) was the country's sixth largest microcredit lender as of 2006, according to MIX Market, and a handful of smaller NGOs have begun or are trying to begin microlending operations. (Personal interview, August 2007; website of the Banking Superintendency).</t>
  </si>
  <si>
    <t>Credit NGOs and credit cooperatives/credit unions continue to operate as non-regulated MFIs; the latter are member-only (closed) institutions that specialise in consumer loans. There are still many NGOs that offer credit to their clients, and are not regulated nor supervised by the SBS. As a practical matter, NGOs that wish to engage in microfinance need—in addition to being already constituted as civil associations registered with the National Superintendency of Public Registries (SUNARP)—to be registered with the tax authorities, labour authorities, the municipality in which they operate and the Peruvian Agency for International Cooperation's registry of NGOs receiving international assistance. Although these are comparatively easy requirements to fulfil, NGOs face a tax on interest income and a cap on interest rates—in both cases unlike regulated institutions—and do not have access to some second tier funds; this provides an important incentive for them to try to meet the various requirements needed to up grade into EDPYMEs. (Microfinance Gateway; Risolidaria Solidaridad en Internet 2004 [www.risolidaria.org.pe/manuales/manualong.pdf]; Personal interview, August 2007).</t>
  </si>
  <si>
    <t>Democracy has been firmly in place since the military dictatorship ended in 1985, and the abuses committed during that period are being investigated. One source of friction is a reinterpretation of the amnesty law, which enables some former military commanders to be brought to trial, but there is a low risk of this provoking political instability. Elections are free and fair. Years of dominance by two centre-right parties (except during military rule) ended in March 2005 when the left-wing Frente Amplio (FA) coalition took office. The FA government will not undermine political stability, since its leadership is experienced and pragmatic, and it is pursuing a largely orthodox policy path in order to safeguard the recently restored economic stability. President Tabaré Vázquez is in a fairly good position to pass important and long-delayed structural reforms but is having to balance this against occasional opposition from radical sectors within the government coalition and from some unions. (EIU, Risk Briefing, September 2007).</t>
  </si>
  <si>
    <t>President Hugo Chávez's total control of the legislature—and approved powers to rule by decree for 18 months—gives him a free hand in policymaking. However, in light of a striking degree of political polarisation and policy radicalisation, potential for destabilisation of the political scene is high. The decay of political institutions, which do not command the respect of voters, also heightens the risk of political instability. The 2006 presidential election passed uneventfully, with Mr Chavez's large margin of victory precluding any claims of electoral fraud. However, the president's evident commitment to radicalising policy in his new term of office is likely to create renewed opposition, and possibly periodic outbreaks of violence. Mr Chávez's often confrontational stance towards neighbouring Colombia and towards the US, which serves to channel nationalist sentiment into support for the government, will keep the potential for dispute with these countries high. However, the risk of armed conflict is low. (EIU, Risk Briefing, September 2007).</t>
  </si>
  <si>
    <t>The Banking Superintendency (Sudeban) supervises banks, which are the main regulated institution involved in microcredit. The General Law on Banks and Other Financial Institutions of October 1993 and the November 2001 Reform to the General Law on Banks and Other Financial Institutions are the guiding regulations. Capital-adequacy ratios for regulated financial institutions are arguably conservative, at 12%, but intended to ensure the solvency of institutions; full implementation of the Basle II Accords on capital adequacy is not expected before 2010. The 2001 law established a minimum capital requirement of Bs16bn for commercial banks. Regional banks, which are commercial banks with head offices in the interior of the country, have a minimum capital requirement of Bs8bn. Proposed changes to the 2001 banking law—not yet passed as of September 2006—would permit commercial banks that engage only in micro-finance (broadly defined) to have as little as Bs3bn in capital. Savings and loan associations (cajas de ahorro y crédito) are regulated by Sudeban, the Superintendency of Savings and Loan Associations and the National Savings and Loan Bank; most of their portfolios fall outside microcredit. Approximately one-third of banks’ lending portfolios must by law be directed to various sectors of the economy favoured by the government (such as small business and agriculture). Micro-businesses (broadly defined as those with up to 10 employees) must by law receive 3% of all loans made by banks; it appears that this mostly benefits small and medium-sized enterprises in practice, however. This requirement, along with a desire to remain in good standing with the regulatory and political authorities and some perception that microfinance may be becoming profitable, explains why banks are showing increasing interest in microcredit. Interest rates are regulated: the Mortgage Debt Law passed in January 2005 requires banks to set aside 10% of their lending portfolios for mortgages that carry interest rates ranging from 8.75% to 11.4%, which is far below the prevailing rate of inflation. The Central Bank of Venezuela also ruled in March 2005 that banks could charge no more than 28% interest on any type of loan and must set a minimum interest rate of 6.5% for all deposits. Even with these artificial limits, market conditions have in the short term kept most lending and deposit rates within this range. There is substantial direct competition between regulated and non-regulated sources of microfinance, on one hand, and a variety of heavily subsidised public programmes, which are able to charge interest rates that may be as much as 6-8% lower. (EIU, Country Finance, July 2007; Personal interview, August 2007).</t>
  </si>
  <si>
    <t xml:space="preserve">The General Superintendency of Financial Entities (Superintendencia General de Entidades Financieras—SUGEF) is in charge of supervising and regulating the financial sector, according to the Organic Law of the Costa Rican Central Bank (Law 7558, of 1995). There is no specific legal framework for or definition of microfinance, which has added to the perception of risk and reluctance of banks and other mainstream regulated financial institutions (finance companies) to enter finance. Those credit unions/cooperatives that engage in financial intermediation for the general public (savings and loans) are regulated by SUGEF as well, and some of these operations extend to microfinance. There is no regulation of interest rates. The state-owned Banco Nacional (BNCR) is engaged in first- and second-tier lending, but its direct operations in microfinance tend to be based on market criteria and not compete with other MFIs.  Capital-adequacy ratios and documentation requirements are not burdensome. (Personal interviews, August 2008; EIU, Country Finance, February 2008) </t>
  </si>
  <si>
    <t>The Banking Superintendency (Superintendencia de Bancos y Seguros) regulates banks, financial associations, savings and credit mutual associations for housing, savings and credit cooperatives/credit unions above a certain minimum size (currently US$10m in assets), and investment and development corporations. Interest rate regulations have been successively eased in the last year.  Under the new Law of Financial Regulation approved in August 2007, there was a partial liberalisation of previous interest rates caps and a wider and higher fluctuation band was established.  More recently, a new means of determining usury caps was instituted, based on the average rates of the financial system plus two standard deviations; rates are also established for eight different market segments, including microcredit, and adjusted every trimester.  Several public programmes with high subsidies and non-market, social criteria exist, but they tend not to compete with private microfinance providers. Capital-adequacy ratios for regulated institutions (9%) are appropriate and documentation is not excessive. The government is currently studying the possibility of a law of popular finance, whose outlines and prospects are unclear. (Personal interviews, August 2008, August 2007; Microfinance Gateway; El Mercurio, August 23, 2007).</t>
  </si>
  <si>
    <t>The Financial System Superintendency (SSF) is the main regulatory body, and it operates primarily under the 1999 Banking Law and subsequent amendments. There is no formal definition of microcredit, though this does not seem to be a major obstacle to the industry's development to date. There is no formal cap on interest rates. Capital-adequacy ratios are strong if perhaps somewhat conservative—12% for all regulated institutions except savings and credit co-operatives (credit unions) and savings and credit associations, for which they are 15%. There is some subsidised competition in the rural sector (but none in the urban sector) from public institutions; it comes in the form of Banco de Fomento Agropecuario, which has also been marred by corruption allegations and a high rate of non-performing loans.  Documentation requirements are not burdensome. (EIU, Country Finance, December 2007; Personal interviews, August 2008, August 2007; Microfinance Gateway).</t>
  </si>
  <si>
    <t>The Central Bank (BRH) regulates two types of institutions which also engage in microfinance--commercial banks and cooperatives/credit unions (caisses populaires).  Five of the nine domestic banks have entered microfinance, since 1997. However, there are no specific regulations for microfinance per se.  Banks in practice undertake microfinance through either a specific department or a separate specialised entity constituted as a non-bank financial institution.  However, the IMF finds that credit unions are often poorly managed and regulated, though some operate on a sound footing; the BRH is currently attempting to overhaul its prudential regulation of credit unions. Interest rates can be freely determined by MFIs.  Documentation requirements and capital-adequacy ratios are reasonable.  The state does not subsidise or distort the microfinance market through its regulation and second-tier funding. (Personal interview, August 2008; IMF, Haiti:  Financial System Stability Assessment, February 5th 2008 )</t>
  </si>
  <si>
    <t>The General Banking and Financial Institutions Law (Law No. 314) came into effect in September 1999 and was revised in November 2005 by Law No. 561, the General Law of Banks, Non-banking Financial Institutions and Financial Groups. The latter law is based on recommendations from the IMF/World Bank under its Financial Sector Assessment Programme (FSAP) and attempts to bring national financial legislation in line with international best practices as outlined in the Basle II accords. Capital-adequacy ratios were raised in a gradual process begun in 1998 from 8% to 10%. The Superintendency of Banks and Other Financial Institutions established in 1991, functions as an independent financial regulator. The legislature passed a general framework for regulating microfinance companies in January 2004, which would include NGOs, but the specifics of this Special Law of Micro-Finance Associations were still being debated in the National Assembly as of September 2007 and prospects for passage were uncertain. Regulated institutions providing microfinance are currently banks and non-banking financial institutions (credit unions are regulated separately by an agency of the Ministry of Labour under the General Cooperative Law of 1971 and the Agricultural and Agroindustrial Cooperative Law of 1990). However, of the 28 Nicaraguan MFIs evaluated by MIX Market, only one is a bank and only one other is a non-bank financial institution. There is no unfair competition (public institutions are limited to second-tier lending). An interest rate ceiling applies to NGOs, but tends to lead them to obscure rates and fees. Documentation requirements are not excessive. (EIU, Country Finance, February 2007; Microfinance Gateway; Personal interview, August 2007).</t>
  </si>
  <si>
    <t>The umbrella regulatory framework is spelled out in the General Law of the Financial and Insurance Systems and Superintendency of Banking, Insurance, and Pension Funds-SBS (Law Nº 26702 of 2004). The SBS is the principal regulator. This framework applies to banks, a specialised institution category called EDPYMEs (see below), rural savings and loans, and municipal savings and loans, the last of which are additionally regulated under Supreme Decree No. 157-90-EF (1990). There are several commercial banks in microfinance. Aside from these, in Peru there are two other types of regulated MFIs that fall in the traditional-institution category: municipal savings and loans (cajas municipales de ahorro y crédito, or CMACs, which are deposit-taking institutions originally owned by city or provincial governments and specialising in the financing of small and micro enterprises and rural savings) and rural savings and loans (cajas rurales de ahorro y crédito, or CRACs, which are usually privately owned deposit-taking institutions specialising in the financing of small and micro enterprises in rural areas). There are no interest rate restrictions under Law 26702. There is no direct competition from subsidised public retail finance institutions (except CMACs, which have increasingly been privatised and operate according to market criteria). Documentation requirements are not burdensome. And capital-adequacy ratios (9.1% for all types of regulated institutions) are reasonable. Minimum capital requirements (US$289,000) for non-bank institutions are arguably low, though they reflect in part the fact that these institutions cannot capture savings. (Microfinance Gateway; Ebentreich, 2005; Personal interview, August 2007).</t>
  </si>
  <si>
    <t>The Central Bank is the main regulator, though it does not regulate microfinance per se. Regulated institutions are mainly banks, finance companies, and savings and credit co-operatives (credit unions). Financial statements are not required for credits less than US$15,000, though in practice, in the absence of specific risk analysis methodologies, institutions ask for credit information. Documentation requirements and capital-adequacy standards are not burdensome. Interest rates are set freely. However, there is possibly an element of indirect subsidy or an uneven playing field for public institutions, particularly in the first-tier operations of Banco de la República (which has opaque finances and problems with loan defaults). (Personal interviews, September 2007; IDB internal project document, August 4th 2005).</t>
  </si>
  <si>
    <t>XTRA2</t>
  </si>
  <si>
    <t>Correlation co-efficient</t>
  </si>
  <si>
    <t>CORREL_X_FORMAT</t>
  </si>
  <si>
    <t>&lt;none&gt;</t>
  </si>
  <si>
    <t>XX</t>
  </si>
  <si>
    <t>Neutral (each indicator equal)</t>
  </si>
  <si>
    <t>“How important are the internal and external threats to the stability of the serving government or the political system in general?”
The EIU’s Political stability rating is a category score in Risk Briefing. It is the average of five indicators: Social unrest, Orderly transfers, Opposition stance, Excessive executive authority and International tensions.</t>
  </si>
  <si>
    <t>0=Extreme instability;
1=Considerable instability;
2=Moderate instability;
3=Stable;
4=Very stable</t>
  </si>
  <si>
    <t>0=Capital markets are undeveloped;
1=Capital markets exist but lack depth and breadth;
2=Capital markets are lacking in either depth or breadth;
3=Capital markets are moderately well developed;
4=Capital markets are deep and broad</t>
  </si>
  <si>
    <t>“Are local capital markets developed?”
This score is based on the average of five scores in the EIU's Risk Briefing: Depth of financing, Access to local markets, Marketable debt, Banking sector health and Stockmarket liquidity.</t>
  </si>
  <si>
    <t>0=Judicial system is extremely poor, corrupt or politicised;
1=Judicial system has several important faults;
2=Judicial system has strengths and shortcomings;
3=Judicial system is basically sound;
4=Judicial system is solid, incorruptible and free of political influence.</t>
  </si>
  <si>
    <t>“Does the judicial system allow for speedy, effective and consistent resolution of disputes?”
Average of three scores in the EIU's Risk Briefing: Fairness of the judicial process, Enforceability of contracts and Speediness of the judicial process.</t>
  </si>
  <si>
    <t>Nowhere</t>
  </si>
  <si>
    <t xml:space="preserve">
</t>
  </si>
  <si>
    <t>Category score: Weighted sum of the following indicators:
●  Regulation of microcredit operations
●  Formation and operation of regulated/supervised specialised MFIs
●  Formation and operation of non-regulated MFIs
●  Regulatory and examination capacity</t>
  </si>
  <si>
    <t>Category score: Weighted sum of the following indicators
●  Political stability
●  Capital market development
●  Judicial system
●  Accounting standards
●  Governance standards
●  MFI transparency</t>
  </si>
  <si>
    <t>Category score: Weighted sum of the following indicators:
●  Range of MFI Services
●  Credit bureaus
●  Level of competition</t>
  </si>
  <si>
    <t>Overall score: Weighted sum of the following category scores:
●  Regulatory Framework 
●  Investment Climate
●  Institutional Development</t>
  </si>
  <si>
    <t>0-100 where 100=best</t>
  </si>
  <si>
    <t>Scatter chart</t>
  </si>
  <si>
    <t>The Financial System Superintendency (SSF) is the main regulatory body, and it operates primarily under the 1999 Banking Law and subsequent amendments. There is no formal cap on interest rates. Capital-adequacy ratios are strong if perhaps somewhat conservative—12% for all regulated institutions except savings and credit co-operatives (credit unions) and savings and credit associations, for which they are 15%. There is some subsidised competition in the rural sector (but none in the urban sector) from public institutions; it comes in the form of Banco de Fomento Agropecuario, which has also been marred by corruption allegations and a high rate of non-performing loans. There is a movement to reduce its functions, but no political action has been taken on this front. Documentation requirements are not burdensome. (EIU, Country Finance, December 2006; Personal interview, August 2007).</t>
  </si>
  <si>
    <t>The Law on Banks and Financial Groups (2002) provides the main regulatory framework, and the Superintendency of Banks (Superintendencia de Bancos—SB) is responsible for the day-to-day oversight of all financial institutions. The main regulated institutions engaged in microfinance are banks (which often have specialised microfinance units) and co-operatives/credit unions. Laws covering regulation of microfinance and microfinance associations and non-regulated financial institutions have been pending since 2002 and face uncertain prospects of legislative approval. Capital-adequacy ratios for regulated institutions (10%) are reasonable. Public programmes and institutions, which are generally lacking, do no constitute unfair competition. There are usury rates setting maximums, but they are not overly restrictive as they allow for a reasonable range of rates. Documentation requirements are reasonable. (Personal interview, August 2007; Microfinance Gateway; EIU, Country Finance, December 2006).</t>
  </si>
  <si>
    <t>Argentina</t>
  </si>
  <si>
    <t>Bolivia</t>
  </si>
  <si>
    <t>Brazil</t>
  </si>
  <si>
    <t>Chile</t>
  </si>
  <si>
    <t>Colombia</t>
  </si>
  <si>
    <t>Dominican Rep</t>
  </si>
  <si>
    <t>Ecuador</t>
  </si>
  <si>
    <t>El Salvador</t>
  </si>
  <si>
    <t>Guatemala</t>
  </si>
  <si>
    <t>Mexico</t>
  </si>
  <si>
    <t>Nicaragua</t>
  </si>
  <si>
    <t>Paraguay</t>
  </si>
  <si>
    <t>Peru</t>
  </si>
  <si>
    <t>Uruguay</t>
  </si>
  <si>
    <t>Venezuela</t>
  </si>
  <si>
    <t xml:space="preserve">Regulatory Framework </t>
  </si>
  <si>
    <t>Regulation of microcredit operations</t>
  </si>
  <si>
    <t>Formation and operation of regulated/supervised specialised MFIs</t>
  </si>
  <si>
    <t>Formation and operation of non-regulated MFIs</t>
  </si>
  <si>
    <t>Regulatory and examination capacity</t>
  </si>
  <si>
    <t>Investment Climate</t>
  </si>
  <si>
    <t>Political stability</t>
  </si>
  <si>
    <t>Capital market development</t>
  </si>
  <si>
    <t>Judicial system</t>
  </si>
  <si>
    <t>Accounting standards</t>
  </si>
  <si>
    <t>Governance standards</t>
  </si>
  <si>
    <t>MFI transparency</t>
  </si>
  <si>
    <t>Institutional Development</t>
  </si>
  <si>
    <t>Range of MFI Services</t>
  </si>
  <si>
    <t>Credit bureaus</t>
  </si>
  <si>
    <t>Level of competition</t>
  </si>
  <si>
    <t>RF00</t>
  </si>
  <si>
    <t>IC00</t>
  </si>
  <si>
    <t>ID00</t>
  </si>
  <si>
    <t>RF01</t>
  </si>
  <si>
    <t>RF02</t>
  </si>
  <si>
    <t>RF03</t>
  </si>
  <si>
    <t>RF04</t>
  </si>
  <si>
    <t>IC01</t>
  </si>
  <si>
    <t>IC02</t>
  </si>
  <si>
    <t>IC03</t>
  </si>
  <si>
    <t>IC04</t>
  </si>
  <si>
    <t>IC05</t>
  </si>
  <si>
    <t>IC06</t>
  </si>
  <si>
    <t>ID01</t>
  </si>
  <si>
    <t>ID02</t>
  </si>
  <si>
    <t>ID03</t>
  </si>
  <si>
    <t>AR</t>
  </si>
  <si>
    <t>BO</t>
  </si>
  <si>
    <t>BR</t>
  </si>
  <si>
    <t>CL</t>
  </si>
  <si>
    <t>CO</t>
  </si>
  <si>
    <t>DR</t>
  </si>
  <si>
    <t>EC</t>
  </si>
  <si>
    <t>SV</t>
  </si>
  <si>
    <t>GT</t>
  </si>
  <si>
    <t>MX</t>
  </si>
  <si>
    <t>NI</t>
  </si>
  <si>
    <t>PY</t>
  </si>
  <si>
    <t>PE</t>
  </si>
  <si>
    <t>UR</t>
  </si>
  <si>
    <t>VE</t>
  </si>
  <si>
    <t>Hard</t>
  </si>
  <si>
    <t>Active</t>
  </si>
  <si>
    <t>Country</t>
  </si>
  <si>
    <t>ISO</t>
  </si>
  <si>
    <t>ISOCol</t>
  </si>
  <si>
    <t>SORT_ORDER</t>
  </si>
  <si>
    <t>Row</t>
  </si>
  <si>
    <t>Overall</t>
  </si>
  <si>
    <t>COUNTRY_ID</t>
  </si>
  <si>
    <t>COUNTRY_CODE</t>
  </si>
  <si>
    <t>COUNTRY</t>
  </si>
  <si>
    <t>Weights</t>
  </si>
  <si>
    <t>Relative</t>
  </si>
  <si>
    <t>Category</t>
  </si>
  <si>
    <t>weight</t>
  </si>
  <si>
    <t>Percent</t>
  </si>
  <si>
    <t>OVERALL SCORE</t>
  </si>
  <si>
    <t>Weighting</t>
  </si>
  <si>
    <t>XTRA</t>
  </si>
  <si>
    <t>Indicator</t>
  </si>
  <si>
    <t>Rank</t>
  </si>
  <si>
    <t>INDICATOR_ID</t>
  </si>
  <si>
    <t>SPACER</t>
  </si>
  <si>
    <t xml:space="preserve">   </t>
  </si>
  <si>
    <t>INDI_CODE</t>
  </si>
  <si>
    <t>INDI_NAME</t>
  </si>
  <si>
    <t>INDI_MAX</t>
  </si>
  <si>
    <t>OVERALL00</t>
  </si>
  <si>
    <t>Overall score</t>
  </si>
  <si>
    <t>“Are regulations conducive to microcredit provision by banks and other established financial institutions? For instance, are banks free to set market interest rates, can they avoid excessive documentation and capital-adequacy ratios, and are they free from unfair competition from subsidised public programmes and institutions?”</t>
  </si>
  <si>
    <t>“Are regulations conducive to the formation and operation of “specialised MFIs,” such as greenfield MFIs and upscaling NGOs transforming themselves into MFIs? For example, are specialised MFIs free to set market interest rates, can they avoid excessive documentation and capital-adequacy ratios, and are they free from unfair competition from subsidised public programmes and institutions?”</t>
  </si>
  <si>
    <t>“Is the legal framework conducive to the formation and operations of microcredit operations by non-governmental organisations (NGOs)?"</t>
  </si>
  <si>
    <t>“Do regulatory institutions possess a specialised capacity for the examination and regulation of microcredit?”</t>
  </si>
  <si>
    <t>“Are accounting standards in line with international norms (ie, US GAAP, IAS, IFRS)?"</t>
  </si>
  <si>
    <t>“Do governance standards of accountability and independence exist for corporations and institutions engaged in microcredit?”</t>
  </si>
  <si>
    <t>“Do microfinance institutions routinely disclose their effective interest rates, conduct external audits and receive external ratings?”</t>
  </si>
  <si>
    <t>“Do MFIs offer a wide range of financial services to low-income populations in addition to microcredit (eg, insurance, savings, transfer of remittances, etc?)”</t>
  </si>
  <si>
    <t xml:space="preserve">“Are there effective, reliable credit bureaus?” </t>
  </si>
  <si>
    <t>“How competitive is the MFI sector? Do micro-borrowers have a wide range of institutions from which to choose?”</t>
  </si>
  <si>
    <t>INDI_DESC</t>
  </si>
  <si>
    <t>INDI_PARAM</t>
  </si>
  <si>
    <t>0=No such regulations exist or regulations are prohibitive;
1=Regulations create serious obstacles;
2=Regulations create at least two such obstacles for MFIs;
3=Regulations create minor obstacles;
4=Regulations present no significant obstacles;</t>
  </si>
  <si>
    <t>0=No regulations exist;
1=Regulations exist but multiple obstacles make formation very difficult;
2=Regulations exist though there are significant obstacles;
3=Regulations exist with relatively few obstacles;
4=Regulations facilitate formation</t>
  </si>
  <si>
    <t>0=NGOs are barred from microcredit;
1=NGOs face many obstacles;
2=NGOs face some obstacles;
3=NGOs face only minor obstacles;
4=NGOs face no significant obstacles</t>
  </si>
  <si>
    <t>0=No specialised capacity;
1=Very limited capacity;
2=Some capacity;
3=Substantial capacity;
4=Excellent capacity</t>
  </si>
  <si>
    <t>0=There are no generally established accounting standards;
1=National standards exist but are weak and ineffective;
2=National standards are established but fall short of international best practices;
3=National standards are similar to or moving towards international standards;
4=International standards are followed</t>
  </si>
  <si>
    <t>0=MFIs rarely or never engage in such practices;
1=MFIs follow at best one such practice, and with uneven results;
2=MFIs follow some of these practices, with modest results;
3=MFIs follow most of these practices with generally favourable results;
4= MFIs follow all these practices</t>
  </si>
  <si>
    <t>0=MFIs do not generally offer additional services;
1=MFIs generally offer only limited services beyond microcredit;
2=MFIs generally offer a modest range of services;
3=MFIs offer a wide range of services;
4=MFIs offer a full, extensive range of services</t>
  </si>
  <si>
    <t>0=Credit bureaus do not exist;
1=Credit bureaus are weak and unreliable in most of these ways;
2=Credit bureaus are weak in some of these ways;
3=Credit bureaus are weak in one of these ways;
4=Credit bureaus provide comprehensive information on the whole range of transactions and also include positive information about borrowers (on-time payment history, etc)</t>
  </si>
  <si>
    <t>Overall Score</t>
  </si>
  <si>
    <t>COMPARATOR</t>
  </si>
  <si>
    <t>COMP1</t>
  </si>
  <si>
    <t>COMP2</t>
  </si>
  <si>
    <t>COMP3</t>
  </si>
  <si>
    <t>COMP4</t>
  </si>
  <si>
    <t>CCOMP1</t>
  </si>
  <si>
    <t>CCOMP2</t>
  </si>
  <si>
    <t>CCOMP3</t>
  </si>
  <si>
    <t>CCOMP4</t>
  </si>
  <si>
    <t>CDCOMP1</t>
  </si>
  <si>
    <t>CDCOMP2</t>
  </si>
  <si>
    <t>CDCOMP3</t>
  </si>
  <si>
    <t>CDCOMP4</t>
  </si>
  <si>
    <t>0=Standards do not exist;
1=Standards exist, but are weak;
2=Modest and unevenly effective standards;
3=Significant if imperfect standards exist in law and practice;
4=Standards of high accountability and transparency are followed in law and practice</t>
  </si>
  <si>
    <t>0=Very high score on the Hirschmann-Herfindahl Index (HHI) of 2601 and over;
1=High HHI of 1801-2600;
2=Moderate HHI of 1001-1800;
3=Low HHI of 501-1000;
4=Very low HHI of 0-500</t>
  </si>
  <si>
    <t>The Central Bank's Superintendency of Financial Institutions, a partially autonomous entity, is the main formal regulator. Although public institutions are in principle second-tier, they introduce distortion into market interest rates and competition by requiring institutions to which they on-lend to apply administratively determined rates (currently 6%). The Central Bank reduced the capital-adequacy ratio for banks from 11.5% to the Basle international standard of 8% in June 2003, though very few banks comply with this rule; the Central Bank has extended the deadline for meeting Basle requirements to 2008. Regulatory obstacles to established institutions also exist in the form of labour laws and contracts, particularly regarding the longer and more flexible working hours that would be required to cater to microfinance clients, and a high tax burden (such as a tax on banking operations for internal administration). Documentation requirements are not problematic. (Curat et al, 2007; Personal interview; EIU, Country Finance, October 2006).</t>
  </si>
  <si>
    <t>The Central Bank is the main regulator, under specific laws and regulations for banks, development banks and non-banking financial institutions, such as credit unions. The principal established institutions engaged in microfinance are banks and credit unions/cooperatives. The microfinance operations of banks have increased under new regulations adopted in 1999 and 2000 to increase access to financial services on the part of the general population, especially lower-income sectors. Banks were allowed to establish "banking correspondents" (eg, in post offices or pharmacies) in order to widen access to financial services. With these changes, a number of commercial banks have rushed into the market and begun offering a wide range of services to poorer households. Like other institutions engaged in microfinance, commercial banks face competition from a range of government-subsidised or semi-subsidised programmes, such as the many institutions funded by the national development bank BNDES and the Banco do Nordeste's Crediamigo programme. Usury laws do not apply to banks or other regulated institutions, though BNDES funding (eg, for non-banking financial institutions or credit unions) does come with interest rate caps. Capital-adequacy standards (maximum debt-to-liquid assets ratio is five times for banks, with gearing ratios only for credit unions) and documentation requirements are not burdensome. (Meagher et al, 2006; personal interview, August 2007).</t>
  </si>
  <si>
    <t>Regulated institutions involved in microfinance, supervised by the Financial Superintendency, are banks and, to a lesser extent, non-banking financial institutions (commercial finance companies, leasing companies and family compensation funds [cajas de compensación familiar]), and finance cooperatives/credit unions. Under Law 964, passed in July 2005, and Decrees 4347, 4328, 4329 and 4330, passed in November 2005, the Financial Superintendency was created, merging the bank regulator (Superintendencia Bancaria) and the securities and insurance commission (Superintendencia de Valores y Seguros). There is an interest rate cap for microcredit operations by regulated institutions in the form of a usury law; under Decree 519 of March 2007, the Superintendency now calculates the rate quarterly for consumer and commercial loans, and annually for micro-business loans. The rate was set at 25.12% for consumption and commercial loans for April-June 2007, and at 33.93% for micro-business loans for the April 2007-March 2008 period. Documentation requirements and compliance costs are high. Public programmes and institutions are mostly limited to second-tier operations and generally do not compete directly with first-tier institutions. Capital-adequacy ratios (of 9% for all regulated institutions) are appropriate. (Microfinance Gateway; EIU, Country Finance, May 2007; personal interview, August 2007).</t>
  </si>
  <si>
    <t>The Bank Superintendency regulates the sector under the authority of the General Banking Law of 1965, and subsequent amendments. In principle, banks, credit and savings banks, credit corporations, savings and loan associations, and savings and credit cooperatives (credit unions) can all engage in regulated microlending, though banks, such as Banco ADEMI and Banco ADOPEM, are most important regulated actors. Capital-adequacy ratios (10% for banks, credit institutions and non-banking financial institutions) are not burdensome, nor are documentation requirements. There are no interest rate ceilings. The one public institution that engages in non-collateralised, non-regulated lending to "microenterprises" and "subsistence microenterprises," PROMYPYME (under the auspices of the Secretariat for Industry and Commerce), operates on what it claims are "strictly commercial terms"; its interest rates (currently between 14.5% for manufacturing and handicrafts and around 18% for other activities) seem to be broadly within market norms. (Secretariat for Industry and Commerce; Personal interview, August 2007; Microfinance Gateway).</t>
  </si>
  <si>
    <t>The Banking Superintendency (Superintendencia de Bancos y Seguros) regulates banks, financial associations, savings and credit mutual associations for housing, savings and credit cooperatives/credit unions, and investment and development corporations. Under the new Law of Financial Regulation approved in August 2007, there was a partial liberalisation of previous interest rates caps and a wider and higher fluctuation band was established. Based on the new formula the Central Bank set the minimum interest rate for credit at 23.9% and the maximum rate at 41.86%. Several public programmes with high subsidies and non-market criteria compete with private microfinance providers. Capital-adequacy ratios for regulated institutions (9%) are appropriate and documentation is not excessive. (Personal interview, August 2007; Microfinance Gateway; El Mercurio, August 23, 2007).</t>
  </si>
  <si>
    <t>User defined#2</t>
  </si>
  <si>
    <t>User defined#3</t>
  </si>
  <si>
    <t>User defined#4</t>
  </si>
  <si>
    <t>User defined#5</t>
  </si>
  <si>
    <t>WEIGHT_PROFILE_ID</t>
  </si>
  <si>
    <t>DEP01</t>
  </si>
  <si>
    <t>DEP02</t>
  </si>
  <si>
    <t>Borrowers as % of population</t>
  </si>
  <si>
    <t>CORREL_X</t>
  </si>
  <si>
    <t>CORREL_X_CODE</t>
  </si>
  <si>
    <t>CORREL_Y</t>
  </si>
  <si>
    <t>CORREL_Y_CODE</t>
  </si>
  <si>
    <t>CORREL_Y_DESC</t>
  </si>
  <si>
    <t>Y-o-Y</t>
  </si>
  <si>
    <t>RANK SCORE DELTA</t>
  </si>
  <si>
    <t>Ranking, 2008 scores plus year on year change</t>
  </si>
  <si>
    <t>MFI clients as % of population</t>
  </si>
  <si>
    <t>Comparator, 2008 scores</t>
  </si>
  <si>
    <t>Rank 2008 (TIED)</t>
  </si>
  <si>
    <t>Rank 2007 (allow tied)</t>
  </si>
  <si>
    <t>2008 Score</t>
  </si>
  <si>
    <t>2007 Score</t>
  </si>
  <si>
    <t>SCORES 2007</t>
  </si>
  <si>
    <t>Summary, 2008 scores</t>
  </si>
  <si>
    <t>2008 scores plus change in rank from 2007</t>
  </si>
  <si>
    <t>rank</t>
  </si>
  <si>
    <t>change</t>
  </si>
  <si>
    <r>
      <t>rank change</t>
    </r>
    <r>
      <rPr>
        <vertAlign val="superscript"/>
        <sz val="8"/>
        <color indexed="9"/>
        <rFont val="Arial"/>
        <family val="2"/>
      </rPr>
      <t>1</t>
    </r>
  </si>
  <si>
    <r>
      <t>rank change</t>
    </r>
    <r>
      <rPr>
        <vertAlign val="superscript"/>
        <sz val="8"/>
        <color indexed="9"/>
        <rFont val="Arial"/>
        <family val="2"/>
      </rPr>
      <t>2</t>
    </r>
  </si>
  <si>
    <t>The country has only a limited definition of microcredit.  A law that has been under discussion for some time would define microenterprises and SMEs and could have implications for microlending, yet its future and precise details remain unclear as of September 2008. There is also a lack of trained personnel in the use of specialised microfinance methodologies, reinforced by the absence of specific national legislation governing microfinance. The Superintendency does not have a microfinance unit or other form of specialised regulatory capacity. (Personal interviews, August 2008, August 2007; Microfinance Gateway).</t>
  </si>
  <si>
    <t>rank change1</t>
  </si>
  <si>
    <t>rank change2</t>
  </si>
  <si>
    <r>
      <t>rank change</t>
    </r>
    <r>
      <rPr>
        <vertAlign val="superscript"/>
        <sz val="8"/>
        <rFont val="Arial"/>
        <family val="2"/>
      </rPr>
      <t>1</t>
    </r>
  </si>
  <si>
    <r>
      <t>rank change</t>
    </r>
    <r>
      <rPr>
        <vertAlign val="superscript"/>
        <sz val="8"/>
        <rFont val="Arial"/>
        <family val="2"/>
      </rPr>
      <t>2</t>
    </r>
  </si>
  <si>
    <t>The Central Bank's Superintendency of Financial Institutions, a partially autonomous entity, is the main formal regulator. Microfinance is not a regulated activity, and institutions operating in microfinance are non-regulated--either sociedades anonimas (SAs) or NGOs. Existing institutions, such as banks or NGOs, may form SAs, which are governed by the same rules as commercial and productive enterprises. Although public institutions are in principle second-tier and there are no floors or ceilings on interest rates, public institutions (which account for some 70% of the microfinance market) introduce distortion into market interest rates and competition by requiring institutions to which they on-lend to apply administratively determined rates (currently 6%) and also by offering concessional rates in loans from government programmes than can be as low as one-quarter of those charged commercially. Regulatory obstacles to established institutions also exist in the form of labour laws and contracts, particularly regarding the longer and more flexible working hours that would be required to cater to microfinance clients, and a high tax burden (such as a tax on banking operation for internal administration). Documentation requirements are not problematic, and capital-adequacy standards do not apply, since MFIs are non-regulated. (Curat et al, 2007; Personal interviews, August 2008, August 2007; EIU, Country Finance, October 2007).</t>
  </si>
  <si>
    <t>The Law on Banks and Financial Entities (1993), Central Bank Law (1995) and their subsequent amendments provide the main juridical anchors for microfinance regulation. The main supervisory agency is the Superintendency of Banks and Financial Entities (SBEF, in Spanish). The regulatory framework has permitted commercial banks, private financial funds (fondos financieros privados, or FFPs), and mutual benefit associations and home loan societies to undertake large, active microfinance operations. These regulated institutions have not faced interest rate restrictions or excessive documentation requirements, and capital-adequacy ratios (10%) have not been burdensome. Direct competition from first-tier, state-subsidised microlending programs has also been non-existent.  However, there have been some worrisome recent moves. Current proposals being considered by SBEF would raise capital adequacy ratios to 11%, which FFPs may find burdensome.  Also, a government-run fideicomiso is offering subsidised loans (3% per annum) to those banks that will agree to on-lend for 6%, which is well below current market rates (roughly 19%) and would constitute disloyal competition.  However, the figure is still too low to attract most banks given the high administrative costs of microcredit.  (Microfinance Gateway; Meagher et al, 2006; personal interviews, August 2008, August 2007).</t>
  </si>
  <si>
    <t>The Central Bank is the main regulator, under specific laws and regulations for banks, development banks and non-banking financial institutions, such as credit unions. The principal established institutions engaged in microfinance are banks and credit unions/cooperatives, though many institutions in both categories do not offer microfinance. The microfinance operations of banks have increased under new regulations adopted in 1999 and 2000 to increase access to financial services on the part of the general population, especially lower-income sectors. Banks were allowed to establish "banking correspondents" (eg, in post offices or pharmacies) in order to widen access to financial services. With these changes, a number of commercial banks have rushed into the market and begun offering a wide range of services to poorer households. Moreover, banks face a requirement to dedicate 2% of their annual revenues to social ends such as microcredit through their own operations or specialised entities they create (or must pay this amount in taxes).  Like other institutions engaged in microfinance, commercial banks face some direct or indirect competition from a range of government-subsidised or semi-subsidised programmes, such as the many institutions funded by the national development bank BNDES and the Banco do Nordeste's Crediamigo programme; the underserved nature of the Brazilian microfinance market blunts some of the impact, however. Usury laws do not apply to banks or other regulated institutions, though BNDES funding (eg, for non-banking financial institutions or credit unions) does come with interest rate caps or guidelines. Capital-adequacy standards (maximum debt-to-liquid assets ratio is five times for banks, with gearing ratios only for credit unions) and documentation requirements are not burdensome. (Meagher et al, 2006; personal interviews, July 2008, August 2007;Rosales, ICC, August 2008).</t>
  </si>
  <si>
    <t>Regulated institutions involved in microfinance, supervised by the Financial Superintendency, are banks and, to a lesser extent, non-banking financial institutions (commercial finance companies, leasing companies and family compensation funds [cajas de compensación familiar]), and finance cooperatives/credit unions. Under Law 964, passed in July 2005, and Decrees 4347, 4328, 4329 and 4330, passed in November 2005, the Financial Superintendency was created, merging the bank regulator (Superintendencia Bancaria) and the securities and insurance commission (Superintendencia de Valores y Seguros). There is an interest rate cap for microcredit operations by regulated institutions in the form of a usury law; under Decree 519 of March 2007, the Superintendency now calculates the rate quarterly for consumer and commercial loans, and annually for micro-business loans. The rate was set at 25.12% for consumption and commercial loans for April-June 2007, and at 33.93% for micro-business loans for the April 2007-March 2008 period. Under recent changes, microbusiness loans must be demonstrably for productive or commercial purposes and fees and commissions must be transparently calculated in the interest rates; the Superintendency is currently operating under extended authority to allow it to re-calculate interest rates for such loans on the basis of the new requirement. Documentation requirements and compliance costs are high. Public programmes and institutions are mostly limited to second-tier operations and generally do not compete directly with first-tier institutions. Capital-adequacy ratios (of 9% for all regulated institutions) are appropriate, and documentation requirements are not burdensome. (Microfinance Gateway; EIU, Country Finance, May 2008; personal interviews, August 2008, August 2007).</t>
  </si>
  <si>
    <t>The National Commission of Banks and Securities (CNBV) is the principal regulator. Commercial banks, the main financial institutions in Mexico, have shown little interest in microfinance, and there is a confusing and dynamic array of supervised and non-supervised legal forms which microfinancial operations may take. The relatively small number of banking licenses granted in recent years, together with strict prudential standards, have discouraged banks from "downscaling" into microfinance, with a few notable exceptions. Another disincentive for both banks and other regulated MFIs has been the growth of programmes providing directed or subsidised credit to rural areas, though such programmes have undergone significant rationalisation in recent years. Popular savings and credit cooperative societies (SCACPs) have long existed in the form of member-based cooperatives (SAPs) but were first legally recognised as part of the financial system in the 2001 Popular Savings and Credit Law. By 2008 (after several deadline extensions), they must obtain licences under the general category of EACPs (popular savings and credit entities) to offer microfinance services, especially deposit taking. The 2001 Law, which aims to rationalise regulation of the diverse institutional forms that traditionally carried out the same activities, also created space for non-member-based institutions called popular financial societies (SOFIPOs), which are one type of EACP, to gain a license to provide savings and credit services to poor households. The other type of EACP is SOFOMEs, regulated financial companies with multiple corporate purpose (there are also non-regulated SOFOMEs). SOFOMEs and SOFIPOs are intended as a vehicle for NGOs and other institutions (like finance companies, or cajas de credito) to upgrade. However, the ten person minimum for the number of owners is proving an obstacle for institutions wishing to obtain such licenses, and it is not year clear how many will be licensed by year-end 2008. There are several other types of regulated non-banking financial institutions, including savings and loan societies (which must be replaced by EACPs or SOFIPOs by 2008), credit unions which do not capture savings, and limited-purpose financial societies (SOFOLEs, which are not authorised to capture savings). One of the Mexican states attempted to impose interest rate caps in recent years, but the federal government forced the repeal of the measure based on exclusive national authority over financial policy. Capital-adequacy ratios (8% for banks, 8-11% for non-bank financial institutions, with higher ratios the greater the capital) are not burdensome for established institutions. Documentation requirements are not excessive. (Personal interviews, August 2008, August 2007; Meagher et al, 2006; Microfinance Gateway).</t>
  </si>
  <si>
    <t>The General Banking and Financial Institutions Law (Law No. 314) came into effect in September 1999 and was revised in November 2005 by Law No. 561, the General Law of Banks, Non-banking Financial Institutions and Financial Groups. The latter law is based on recommendations from the IMF/World Bank under its Financial Sector Assessment Programme (FSAP) and attempts to bring national financial legislation in line with international best practices as outlined in the Basle II accords. Capital-adequacy ratios were raised in a gradual process begun in 1998 from 8% to 10%. The Superintendency of Banks and Other Financial Institutions established in 1991, functions as an independent financial regulator. The legislature passed a general framework for regulating microfinance companies in January 2004, which would include NGOs and presumably allow them to capture deposits, but the specifics of this Special Law of Micro-Finance Associations were still being discussed by special technical commissions as of August 2008 and prospects for final implementation remain uncertain. Regulated institutions providing microfinance are currently banks and non-banking financial institutions (credit unions are regulated separately by an agency of the Ministry of Labour under the General Cooperative Law of 1971 and the Agricultural and Agroindustrial Cooperative Law of 1990). However, of the 29 Nicaraguan MFIs listed in MIX Market, only one is a bank and only two others are non-bank financial institutions, while the remainder are (non-regulated) credit unions and NGOs. There is no unfair competition (public institutions are limited to second-tier lending). An interest rate ceiling applies to NGOs, but tends to lead them (and their regulated and non-regulated competitors) to obscure rates and fees. Documentation requirements are not excessive. There is currently some tension between the Ortega government and MFIs, as the government has given encouragement to a debtors' movement that has been growing in recent months. (EIU, Country Finance, February 2008; Microfinance Gateway; Personal interviews, August 2008, August 2007).</t>
  </si>
  <si>
    <t>Banks, finance companies, and cooperatives/credit unions are the main regulated types of MFIs.  Institutions are free to set interest rates, and public institutions do not compete unfairly with private MFIs.  Documentation and capital-adequacy requirements are not onerous.  The Superintendency lacks a clear definition and legal framework for microfinance, which is still a very incipient activity.  However, Paraguay has progressed in this direction by passing a new banking law (effective as of 28/8/08) that now considers micro and small enterprises, as previously defined in the Law on Micro and Small Enterprises, as banking clients if they receive credits for commercial purposes up to a total of 200,000 balboas.  This should open a window for banks to give microloans, though the practical impacts remain to be seen. The law expressly says that the 2000 Law of Microfinance (law 10) remains in effect and is not overriddent by the current law (Superintendencia del Ministerio de Finanzas y Economia). (Personal interviews, August 2008)</t>
  </si>
  <si>
    <t>There are no specialised juridical vehicles for microfinance in Argentina, and since microfinance is an unregulated activity it is not possible to upgrade into regulated status (though an NGO can become an SA). Although cajas cooperativas de crédito (credit co-operatives) were created on paper as a means to channel credit to micro, small and medium-sized enterprises (and one that could also capture deposits), implementing regulations have still not been adopted. The vehicle appears unattractive to NGOs and sociedades anónimas (SAs) seeking to upgrade because of its co-op (closed) status, geographical restrictions and lack to date of any customised risk management and credit evaluation system for low-income clients. (Personal interviews, August 2008, August 2007; Curat et al, 2007).</t>
  </si>
  <si>
    <t>The SBEF created FFPs in 1995 as an attractive vehicle to encourage NGOs with strong lending operations to transform themselves into regulated, specialised MFIs. FFPs are allowed to take deposits, can more easily access wholesale funds and commercial capital, and spur more efficient management. Looking forward, many NGOs are currently in the process of meeting standards to become regulated NGO microfinance providers able to capture savings, without turning into FFPs.  This is based on a March 2008 resolution of the Superintendency that dictates that they (and Development Finance Institutions, or IFDs in Spanish) now need only one-quarter (US$300,000) of the capital that FFPs need to become deposit-taking, regulated institutions, provided that they meet the administrative and regulatory requirements of the Banking Law, which will now govern those making the transition. While this will lead to many newly regulated NGOs, it seems likely to undercut the FFP upgrading route. It also raises the possibility of creating unfair competition for regulated MFIs and could be the beginning of a de facto loosening of supervision to accommodate upgrading institutions.   (Microfinance Gateway; Meagher et al, 2006; personal interviews, August 2008, August 2007; Rosales, ICC, August 2008).</t>
  </si>
  <si>
    <t>In the late 1990s and early 2000s, new regulations enabled the formation of two distinct type of microcredit organisations—public interest civil societies (OSCIPs), which are a particular type of financially non-regulated NGOs (but supervised by the Ministry of Justice), and microenterprise credit societies (SCMs), which are regulated for-profit entities. There is a generous public subsidy for the creation of new organisations, though limited availability of funds restricts the licensing of new institutions in practice. SCMs have high interest rates, profits, loan delinquency and write-offs, making them in practice similar to well-run consumer finance companies than to microfinance institutions (even though they can not make consumer loans, by law); they undertake little microfinance, and tend to concentrate on factoring. Their rate of creation leveled off after the first few years. OSCIPs and SCMs enjoy exemption from usury laws (which apply to all other non-regulated microcredit providers, including NGOs that do not obtain OSCIP status), fiscal benefits and access to certain public second-tier programmes. Both OSCIPs and SCMs are limited to microcredit. A May 2008 decision by the National Monetary Council to raise the minimum capital required for SCMs (from US$62,500 to US$125,000, allowing the 56 existing SCMs a year to achieve this minimum, is considered unlikely to encourage SCMs in practice to become more microfinance-oriented (particularly since it allows them to lend more to small enterprises) and it may be difficult for many of them to achieve it and stay in business. It seems perhaps driven by the competitive concerns of their regulated mainstream competitors, who may end up acquiring some of these institutions.  (Meagher et al, 2006; Curat et al, 2007; personal interviews, July-August 2008, August 2007).</t>
  </si>
  <si>
    <t>Based on the 2005 NGO Law, NGOs are not allowed to transform into a different kind of entity. They can, however, create distinct, separate financial entities, and some have begun to do so in recent years, overcoming tax and other potential obstacles. Around 2004, ADOPEM, the Dominican affiliate of Women's Worldwide Banking, completed the transition to becoming a bank. (Personal interviews, August 2008, August 2007; Microfinance Gateway, 2008).</t>
  </si>
  <si>
    <t>There are two competing norms for the definition of microcredit and attendant risk categories and provisioning requirements, and the distinction with consumer finance can be fuzzy at times. Within these limitations, however, a significant number of specialised MFIs exist among all the major formal categories (ie, banks, financial associations, credit unions etc).  Upgrading of NGOs is also possible, and some NGOs have recently becomes financial associations (sociedades financieras).  It is also possible for sociedades financieras to upgrade into banks, and one that is specialised in microfinance is currently undertaking such a transition.  The Superintendency is also currently working with some non-regulated credit unions on a transition programme so that they can become regulated once they achieve the legal minimum size.  Since the legal framework regulates the activity of microfinance rather than specific types of institutions, the promotion of a specific juridical vehicle to promote microfinance specialisation is deemed unnecessary by the authorities. (Personal interviews, August 2008, August 2007; Microfinance Gateway; Microfinanza, July 2006).</t>
  </si>
  <si>
    <t>In February 2004 the first Reciprocal Guarantee Society (Sociedad de Garantía Recíprocas—SGR) was created. These financial institutions are supervised by the Financial Superintendency and have minimum capital requirements. Their main task is to accept the debt of and grant credits to microenterprises and small and medium-sized companies. However, they have not proven to be attractive vehicles, and only one SGR is among the 16 Salvadoran MFIs listed in MIX Market. NGOs can transform themselves into savings and credit associations under the Financial System Commission’s supervision, though they must meet fairly strict requirements (capital, provisioning by risk category, etc). Non-bank financial institutions are also active in microfinance as regulated entities; while a few specialise in microfinance, NBFIs are not designed for this purpose and most have a different or wider range of clients that extends beyond the scope of microfinance. (Microfinance Gateway; personal interviews, August 2008, August 2007; EIU, Country Finance, December 2007).</t>
  </si>
  <si>
    <t>There is no specific vehicle for microfinance, which is not specifically regulated as a distinct financial operation. Banks can establish microfinance departments or separate microfinance entities. Upgrading of non-regulated institutions is possible in theory, but the lack of a legal framework governing such upgrading or the activity of microfinance is a significant obstacle.  The NGO ACME considered upgrading but decided against it because of the lack of a legal framework governing issues such as how to handle defaults or arrears (non-regulated institutions cannot take defaulting borrowers to court). (Personal interview, August 2008)</t>
  </si>
  <si>
    <t>OPDS were created in 2001 as a specialised, regulated microfinance vehicle, particularly intended for upscaling NGOs  However, they are not as attractive as, for example, finance companies as they cannot capture savings from the general public and face interest rate caps. Not as many have been created as was initially hoped. Upgrading requirements in terms of risk management, provisioning, and other procedures can make it difficult to make transitions from NGO to OPDS or OPDS to finance company or bank. (Personal interview, August 2008; Microfinance Gateway)</t>
  </si>
  <si>
    <t>In principle, the 2001 law, with the creation of two institutional forms of SOFOMEs and SOFIPOs under the EACP umbrella, provides a promising upgrading vehicle. Since institutions have until 2008 to make conversions, some of the impact remains to be seen. However, fewer SOFIPOs have been created to date than had been hoped; some NGOs and finance companies that had wished to transform have found unattractive the equity structure and the federation governance structure (a form of delegated governance through a federation of institutions with a single committee of financial supervision). These forms are not intended for greenfield MFIs per se, though in principle they could be created. Yet in January 2008 the CNBV addressed a major problem in terms of the lack of tailoring of EACP regulations to microfinance:  it improved and strengthened microfinance activities on the part of all categories of EACPs, requiring them to demonstrate the capacity to undertake and to realise personal visits to asset creditworthiness (and consult a credit bureau) as well as tightening the number of days of tolerance of arrears of microloans as compared to consumer lending (Meagher et al, 2006; personal interviews, August 2008, August 2007; Microfinance Gateway; Rosales, ICC, August 2008).</t>
  </si>
  <si>
    <t>Unlike in some other countries, there are no special laws or provisions for single-purpose, regulated MFIs, and no such MFIs exist. Such specialist MFIs are not expressly prohibited, and some semi-regulated credit companies (cajas de crédito) were able to upgrade into regulated (and non-specialised) finance companies in the 1990s. The finance companies active in the sector do not have more than 20% of their portfolios in microfinance, however. NGOs and credit unions (co-operativas de ahorro y crédito) active in the sector are not financially regulated and would need US$5m in minimum capital to become finance companies. Practical, non-legal, fundraising constraints in capital markets have prevented NGOs, in particular, from upgrading (Personal interviews, August 2008, August 2007; Berger et al, 2003; website of the Banking Superintendency).</t>
  </si>
  <si>
    <t>EDPYMEs, also regulated by the SBS under the same umbrella legislation, are entities for the development of small and micro enterprises (entidades de desarollo de la pequeña y micro empresa, or EDPYMEs). They are non-deposit-taking institutions that are often owned by NGOs; the difficulty in raising capital, particularly through deposit taking, has been the one weakness of this otherwise potent MFI vehicle.  Most of the currently existing EDPYMEs were formerly credit NGOs. Their numbers and profitability continue to increase, and as a group their combined portfolios recently surpassed those of cajas rurales (rural credit unions).  These organisations transformed into regulated MFIs because they wanted to be regulated (with advantages like greater access to wholesale finance) and/or they wanted to avoid paying VAT on interest earned on their loans, as NGOs do. NGOs that have remained in that status have a regulatory pathway to upgrade into EDPYMEs if they fulfill certain steps outlined in the General Law, related to loan provisioning, risk management, information disclosure, and the like. EDPYMEs may also upgrade over time to offer wider services if they obtain permission; in practice, some have moved into credit and debit cards but not none have into savings.  In June 2008, however, Legislative Decree 1028 was adopted by the SBS with the aim of improving the access of both EDPYMEs and cajas rurales and cajas municipales to capital markets. While implementing regulations must be adopted within 90 days and were not issued as of August 2008, the decree will enable these three types of non-banking MFIs to engage in a series of different financial operations previously restricted to banks (e.g., trading stocks and bonds and other paper, mortgage lending, etc.). It is not clear if final implementing regulations will also improve the ability of these institutions to receive permission to capture deposits, but it nonetheless appears to strengthen in important ways their ability to compete with banks in microfinance. (Ebentreich, 2005; Microfinance Gateway; personal interviews, August 2008, August 2007; Diario La Republica online, www.larepublica.com.pe, June 24, 2008).</t>
  </si>
  <si>
    <t>The fall-out from the financial collapse of 2001-02 will be reflected in a lingering credit squeeze. Though profitability has returned since 2005 banks' balance sheets remain relatively weak and government bonds still account for just under 20% of the system's total assets. The full rehabilitation of the financial system will be a protracted process and the availability of loans for productive activities, scarce even in the 1990s, will be somewhat restricted in the main to short-term working capital. The government may try to revive the role of state-owned banks in providing credit to productive sectors although fiscal constraints will restrict the amount of resources available. There is still some uncertainty over whether banks will receive compensation for having followed court judgments and reimbursed some investors who had savings in dollars before the crisis. The level of dollarisation in the financial system is low, reducing the risks of currency mismatches. (EIU Risk Briefing, April 2008).</t>
  </si>
  <si>
    <t>Chile will remain one of the few emerging countries where companies with good credit ratings have access to a range of medium- and long-term local currency borrowing options. Simplified tax treatment has allowed the creation of a commercial paper market, while the elimination of taxes on cross-border intermediation will enable local banks to expand their operations abroad, particularly in foreign trade financing. The banking system is well capitalised and prudently managed, and surpasses Basle capital adequacy norms. Chilean banks are well placed to withstand a deterioration in global risk aversion. Corporate and consumer lending growth will slow somewhat as domestic interest rate rises take effect. With a market capitalisation rate of around 120% of GDP, the stock market is very liquid.(EIU Risk Briefing, June 2008)</t>
  </si>
  <si>
    <t>The C-rated financial sector is recovering well from a crisis in 1998-99. The score reflects currency risk as political uncertainty has contributed to episodes of volatility in the past. The financial sector is still affected by distortions such as compulsory lending to favoured sectors, special deposits, surcharges and a tax on financial transactions. Following the crisis of 1998-99 regulatory changes have been made and supervision has improved. Banks have returned to profitability and are fully provisioned against bad loans, but their heavy holdings of government debt are a concern. The stock market boomed in 2003-06 but has been affected by international capital market turbulence. Firms fear enhanced tax scrutiny that a listing brings, while demand from local private pension funds is restricted. The local-currency bond market is dominated by public-sector debt, leaving little room for corporate issues. Capital controls, in place since 2007 and tightened in mid-2008, curb portfolio flows to the stock market. (EIU Risk Briefing, August 2008)</t>
  </si>
  <si>
    <t>The availability of finance from the domestic banking system is limited and foreign companies (as well as large domestic companies) tend to rely more on external financing through correspondent banks. The market for investment financing is shallow and expensive, and companies needing to borrow for an extended period tend to seek dollar financing. Access to external financing has eased since the banking crisis of 2003-04 and associated currency and price instability. Amid an easing of local interest rates, credit to the private sector accelerated in 2006 and 2007, but has since begun to moderate. Despite improvements in regulation and supervision since 2005, concerns prevail over corporate governance and asset quality at private banks. The country's very small stock market is unlikely to grow significantly until the very long-term, hence domestic equity financing for foreign companies will remain out of the question.(EIU Risk Briefing, June 2008)</t>
  </si>
  <si>
    <t>Dollarisation has improved market confidence and banks are gradually re-establishing themselves as financial intermediaries following the systemic collapse of 1998-99, yet credit will remain scarce for most businesses. Public confidence in the banking system has improved in recent years and deposits have picked up. Having been overcrowded, the market is now dominated by four big banks and suffers from a lack of competition. Credit availability is stunted because private banks must maintain high liquidity levels, due to the absence of a lender of last resort in the dollarised financial system. Most deposits are in instantly accessible current accounts, so a dip in confidence in the financial system could prompt a run on deposits. (EIU Risk Briefing, June 2008)</t>
  </si>
  <si>
    <t>Following the passage of a law legally fixing the exchange rate to the US dollar at c8.75:US$1 from January 2001, exchange-rate volatility is a function of US dollar volatility. We expect a steady depreciation of the US dollar, but there is a small risk of a sharper fall in the dollar, which would have negative consequences for inflation and interest rates. The local financial market remains fairly illiquid, but low financing rates have been available to large corporations. The financial system is generally sound, although smaller institutions' higher operating costs mean that consolidation in the banking sector is likely to continue in the next several years. If this consolidation process goes too far, borrowing costs may rise as competition declines. Equity finance is scarce; most companies raise capital through debt issuance.(EIU Risk Briefing, July 2008)</t>
  </si>
  <si>
    <t>A period of consolidation, restructuring and legislative reform in the aftermath of crisis in the mid-1990s has strengthened the financial sector. Regulation and supervision have improved, as has risk management, and prudential indicators are positive: the non-performing loan rate was 2.3% at end-2007. There has been a rapid extension of credit to the private sector since outstanding bad loans from the crisis were written off in 2001, but there is still ample room for growth, as credit to the private sector is still less than 20% of GDP. This reflects the crowding-out of the private sector by the public sector, in the context of a public debt/GDP ratio of close to 130% (which stems in part from the bank bail-out itself). There have been some improvements on this front in recent years, with the loan/deposit ratio rising from to 64% in 2007. There is also ample room for deepening of the shallow capital market, which at current does not provide much scope for project financing by large foreign investors. (EIU, Risk Briefing, May 2008)</t>
  </si>
  <si>
    <t>Poor banking regulation has brought several banking crises since the deregulation of the sector in 1991. Regulation has improved modestly, but banks remain reluctant to lend. Credit to the private sector has increased modestly in 2007 from 13% of GDP to a still low estimated 16% of GDP. Although the costs of financial intermediation have declined since 2003, spreads in local currency remain high. Increased confidence in the guaraní has been reflected in a smaller proportion of credit to the private sector issued in US dollars (40% of the total in March 2008, from 60% at end-2002). However, the sector is still vulnerable to the risk of currency devaluation. Efforts to reform the state banking sector will be hampered by the fierce political opposition to the next government. The Asunción stock exchange is expanding, but further growth will be constrained by family enterprises'  fear of losing majority control of assets in public offerings.(EIU Risk Briefing, July 2008)</t>
  </si>
  <si>
    <t>In 2002 the abandonment of the currency board and its associated dislocations, including the conversion into local currency of dollar deposits, shattered confidence in the rules of the game built up over the previous decade. Restoring confidence and rectifying the setbacks of recent years has been a gradual process. Mr Kirchner sought to reconcile the demands of maintaining strong political support with undertaking reforms needed to lay the basis for sustainable economic growth and Mrs Fernández will continue this. Moves to reform the Supreme Court and the police were examples of a drive to reform institutions which lost momentum. The new government will move slowly to re-establish permanent contracts with owners of privatised utilities. Currently, the most immediate regulatory risk to business comes from government intervention in the form of compulsory price agreements, which began to be used to combat inflation in late 2005. The new government is bent on enforcing price controls in the short-term. (EIU Risk Briefing, April 2008).</t>
  </si>
  <si>
    <t>Judicial reforms implemented since 1998 have increased judicial independence and improved the reliability of verdicts. The creation of a Constitutional Tribunal has provided a second appeals body through which decisions by the Supreme Court can be challenged. The introduction since 2000 of new criminal and civil codes has increased the efficiency and transparency of legal proceedings. However if the new constitution drafted by the MAS goes into effect, judicial and regulatory uncertainty will increase as it envisages changes that may lead to stronger interference of the executive over the judiciary. Corruption and political interference with judicial processes remain pervasive. Privatisations carried out in the mid-1990s forced the introduction of modern regulatory systems with transparent rules, but this may also suffer setbacks owing to the government's plans to increase the state's control over the economy. Intellectual property rights enforcement remains poor, despite some improvements.(EIU Risk Briefing, July 2008)</t>
  </si>
  <si>
    <t>Legal and regulatory risk arises largely from the slow and complicated judicial process. Although the system is considered to be generally fair, delays reflect the ease with which legal injunctions can be obtained. The risk that a contract will not be enforced is low, but it may be subject to interpretation by state legislatures. The national business lobby has won tax and regulatory concessions to favour their interests over those of foreign companies, but discrimination against foreign companies has been reduced over the past decade. There is little risk of expropriation of assets, and protection of private property is fair. Some improvements introduced in a 2004 judicial reform that included the introduction of a case law system to make Supreme Court decisions binding will speed up final resolution of contested cases. However, the regulatory framework in sectors such as energy, telecoms and pharmaceuticals is still unclear and there are concerns about political interference in regulatory bodies.
(EIU Risk Briefing, July 2008)</t>
  </si>
  <si>
    <t>There is little risk of interference in the judicial process, whether from government or private interest groups. Contract rights are generally upheld and recognised. The judicial process is usually efficient. Neither the courts nor the government tend to favour domestic companies over foreign ones, and there has been no expropriation of foreign assets. Attracting foreign companies and investment is considered a key component of the liberal market economic model by all major political parties. The government is a keen promoter of competition (foreign and domestic) and will continue to lift barriers to entry into new markets. Intellectual and private property rights are guaranteed and protected by law, though enforcement can be slow and expensive. There are few price controls and, even in a crisis, the government is unlikely to impose them.
(EIU Risk Briefing, June 2008)</t>
  </si>
  <si>
    <t>Legal and regulatory risk scores 48, in the middle of the C-grade rating. There is little danger of expropriation or confiscation, and it is official policy to encourage foreign investment by creating a clear, stable and favourable regulatory framework. Although the Supreme Court is impartial and well respected, the lower levels of the judiciary and civil service are susceptible to corruption and intimidation. Drugs money and the power of vested interests have contributed to the contamination of the legal system. In regions with a high level of guerrilla and paramilitary activity private property is threatened, and extortion by both guerrillas and common criminals is widespread. The legal code gives adequate coverage of intellectual property rights but the courts frequently neglect its provisions. In June 2005 Congress approved investor stability contracts. These allow large companies to benefit from protection from adverse administrative and regulatory changes, although there is a list of exemptions.(EIU Risk Briefing, August 2008)</t>
  </si>
  <si>
    <t>The slow and ineffectual judicial process and weaknesses in the regulatory framework are the main contributors to legal and regulatory risk. The risk that a contract will not be enforced is moderate. The national business lobby has won tax and regulatory concessions, but overt discrimination against foreign companies is minor, and the entry into force of DR-CAFTA in March 2007 provides increased protection against such discrimination. There is little risk of expropriation of assets, and protection of private property is fairly effective. The judiciary is weak and prone to corruption, though the Supreme Court is regarded as being reasonably independent. However, the regulatory framework in sectors such as energy is subject to changes, and political interference in regulatory bodies, as evidenced by the handling of the 2003 banking crisis, prevails. The practice of dual accounts in companies for tax evasion purposes is common. Protection of intellectual property rights is poor, but likely to improve.(EIU Risk Briefing, June 2008)</t>
  </si>
  <si>
    <t>The judicial process is slow, as criminal trials clog the court system and delay commercial dispute resolution. A special commercial court was introduced as early as 2001, but an acceleration of its development is required to speed the processing of cases and to facilitate greater specialisation in the field of commercial and financial law by lawyers and judges. Property and contract rights are upheld, but in the event of dispute, resolution is a slow and costly process. Foreign investors, who in general are on a level playing field with domestic businesses, but can also refer disputes with local partners for international arbitration. Utilities and financial regulators have been strengthened in recent years, as have the powers of the Fair Trading Commission. Intellectual property rights legislation is in force, but there is room for improvement in enforcement. Jamaica has since 2004 been on the US's special 301 "watchlist" for its non-TRIPS compliant patent legislation. (EIU, Risk Briefing, May 2008)</t>
  </si>
  <si>
    <t>Among regulated institutions, companies such as banks listed on Novo Mercado section of the stock market must use GAAP. Elsewhere among listed firms and institutions (only four banks at present are engaged in microfinance, though the Banco do Nordeste dominates national market share), international standards or transparent local standards that are readily interpreted and moving in direction of international norms are used. Starting in 2010, all listed companies and financial institutions must use IFRs, which are not permitted for non-listed corporate entities. However, NGOs are not supervised and do not have uniform or internationally compatible accounting standards.  Moreover, accounting standards applied by the Ministry of Justice (to OSCIPs) and by the Ministry of Labour (to those operations by any MFI which are based on FAT governmental resources) are inconsistent with each other, not based on IAS, and create confusion for a range of MFIs that tap into them. (Personal interview, July 2008; EIU, Country Commerce, August 2007; Deloitte/IAS PLUS).</t>
  </si>
  <si>
    <t>In the economy as a whole, the Institute of Certified Public Accountants adopted IAS in 1999. IFRS are required for both listed and non-listed firms economy-wide. Accounting and auditing standards for the financial sector, in line with international norms, are set by the Superintendency, and were strengthened in recent years. A 2004 IFC report on Dominican accounting had found problems with financial groups (eg, lack of consolidated financial statements), a need to strengthen the accounting profession, some slowness in adopting the latest international standards, and weak enforcement. Closures of several banks in recent years have raised concerns about the quality of financial reporting. Standards at NGOs are uneven, though there is some self-regulation. (IFC, Report on Observance of Standards and Codes, December 2004; Deloitte/IAS PLUS; Interamerican Accounting Association, 2007; Personal interviews, August 2008, August 2007).</t>
  </si>
  <si>
    <t>International standards have been required in Ecuador's dollarised economy since 1996.  IFRS are mandatory for all listed companies, but not for non-listed ones. The Banking Superintendency has established and enforces strict standards for regulated institutions. The members of one national NGO network use standards from the unified accounting catalogue, which are used by regulated institutions and roughly in line with IAS.  But other NGOs do not have internationally compatible standards.   (Personal interviews, August 2008; Inter-American Accounting Association; IAF PLUS/Deloitte).</t>
  </si>
  <si>
    <t>IAS have been used in El Salvador's fully dollarised economy since 2000. IFRS, which are permitted but not required, were phased in over 2000-06. In some cases, IFRS are dated, however, and enforcement is often weak and overstretched. Double-bookkeeping remains common, though criminal penalties for such tax evasion practices have increased substantially in recent years.  The Code of Commerce require all joint-stock companies (including all listed companies, banks, and most unlisted companies with more than 20 shareholders) to prepare annual financial statements in accordance with accounting standards of the local professional association (the Consejo de Vigilancia de la Profesion de Contaduria Publica y de Autoria or CVPCA). These statements must be audited. These are essentially IAS compliant. Non-regulated MFIs generally observe sound accounting practices; NGOs must formally account for their capital using established accounting standards and submit an annual audited balance sheet to the Ministry of Interior’s Registry; auditors are obligated to inform the organisation's general assembly and the El Salvador’s Court of Accounts if there is an irregularity in the administration of capital.  (Inter-American Accounting Association; IAS PLUS/Deloitte; IFC, Report on Observance of Standards and Codes, June 2005; Microfinance Gateway; Personal interviews, August 2008, August 2007).</t>
  </si>
  <si>
    <t>Economy-wide, IFRS are required for all listed and unlisted companies, and IAS standards were adopted as mandatory in 2002. A small amount of legislation affecting the banking sector was passed in 2005 and 2006 to implement regulatory measures passed in 2004 intended to improve transparency and supervision of the financial sector. However, the impact remains uncertain, as the SB's supervision of the accuracy of annual financial statements has been placed into question by the recent failure of several banks as well as consolidations and acquisitions in the sector.   At non-regulated institutions, standards vary considerably, and depend to some extent on the requirements of external and international funders. (EIU, Country Finance, December 2007; Deloitte/IAS PLUS; Personal interviews, August 2008, August 2007).</t>
  </si>
  <si>
    <t>Standards vary widely in practice, depending on the juridical status of the institution, its size (standards tend to be higher at medium to large-size institutions), and whether it is regulated or not. Efforts at standardised accounting practices across disparate MFIs operating under distinct juridical forms are underway at various MFI networks, such as Prodesarrollo.  Economy-wide, Mexico is converging toward international standards but still makes use of national standards, including inflation-adjusted accounting (which is mandatory for listed firms). IFRS are not permitted for listed or unlisted firms. Bank accounting practices generally follow US standards since their overhaul in the 1990s. (Deloitte/IAS PLUS; EIU, Country Finance, March 2008; personal interviews, August 2008, August 2007).</t>
  </si>
  <si>
    <t>Accounting standards for regulated institutions in Panama's dollarised economy and offshore financial centre approach IAS.  IFRS are required for all listed and unlisted companies, including banks and finance companies as regulated financial institutions; this law is being challenged in the courts, however. Credit unions are not financially supervised, nor are NGOs; standards are generally laxer and more uneven at both these types of institutions.  (Deloitte/IAS Plus; Personal interviews, August 2008)</t>
  </si>
  <si>
    <t>A local informant opines that this is one of the weakest aspects of Argentine microfinance.  Requirements for Argentine corporations (SAs) are mostly limited to publication of charters in the Public Commercial Registry (Registro Público de Comercio) and presentation of balance sheets 15 days before any shareholders’ meeting. There is little regulation of minority rights and other aspects of corporate governance.  For listed firms, the capital market reform of 2001 provides for charters, information to shareholders, voting rights, minority rights, mandatory tender offers once 35% of shares are acquired by single purchaser, rights to fair price in de-listings and squeeze-outs, and independent audit committees. But some firms have de-listed to avoid these rules, and enforcement through the judicial system remains lengthy and cumbersome. According to World Bank Doing Business (2008), Argentina has a score of 4.7 out of 10 on the Investor Protection Index, compared with a regional average of 5.1. NGOs and SAs in practice face only minimal regulation and supervision,  the principal requirement being simply to submit financial statements and reports to the General Inspectorate of Justice and Provincial Directorates of Juridical Persons. Awareness on the part of MFIs of the importance of improving governance practices is very incipient.  (OECD, Latin America CG Roundtable, 2005; Curat et al, 2007; EIU, Country Finance, October 2007; Personal interview, August 2008).</t>
  </si>
  <si>
    <t>There are solid, improving standards for regulated institutions.  Pursuant to the revised Corporate Law of 2001 (which also covers financial institutions), the Securities Commission (CVM) published voluntary governance standards in 2002. Corporate entities (sociedades anônimas—SAs) are requested, but not required, to report on their non-compliance, which is not punishable. Many have begun to do so. The World Bank's Doing Business (2008) scores Brazil a 5.3 out of a maximum 10.0 on its investor protection index (unchanged from a year earlier), compared to a regional average of 5.1 and an OECD average of 6.0. The Central Bank is also working to develop a voluntary code for cooperatives, whose governance through the traditional national confederation and state federation structures leaves something to be desired. However, at non-financially regulated institutions such as NGOs and OSCIPs there are minimal or no standards of transparency and accountability, and practices tend to be weak to at best uneven. (Personal interview, July 2008; EIU, Country Commerce, August 2007).</t>
  </si>
  <si>
    <t>Uruguay has no specialised legal vehicle for microfinance, which is not a regulated financial activity.  Co-operatives were initially specialised in what could loosely be called microfinance, but they are now less so; only those that capture deposits from the public are regulated, however.  The sociedad anonima is a non-regulated legal form that MFIs can take but it is generally designed for commercial and productive purposes and follows the same registration and organisational procedures as companies created for such purposes. (Personal interviews, August 2008, September 2007; IDB internal project document, August 4th 2005)</t>
  </si>
  <si>
    <t>Under various Supreme Decrees (22409 of 1990, 26140 of 1991and 26973 of 2003), non-for-profit private institutions or juridical persons—whether domestic or foreign, religious or secular— undertaking development or aid-oriented activities with government or external funding may provide unlicensed financial services. Many NGOs have unregulated microfinance operations. In addition, under the General Law for Cooperative Societies (1958), Regulations of Financial Activities for Credit Unions (1993), and Supreme Decrees 24439 (1996) and 25703 (2000), closed cooperatives may provide member-only financial services. This particular type of cooperative constitutes a supplemental liability credit and savings union that only performs financial operations for its members, lacks a financial operating license, and is SBEF regulated. The National Institute of Cooperatives (INALCO) authorises and supervises closed cooperatives. NGOs face no taxes on their MFI operations. Looking forward, many NGOs are preparing to become regulated microfinancial institutions, with the incentive of being able to capture deposits. (Microfinance Gateway; personal interviews, August 2008, August 2007).</t>
  </si>
  <si>
    <t>NGOs, operating as civil associations, may in principle offer microcredit, though only a small number do so, and none is listed in MIX Market.  Their inability to raise capital (including deposits) and relatively weak access to public support are significant obstacles. (Personal interview, August 2008)</t>
  </si>
  <si>
    <t>NGOs (civil associations under Mexican law) have traditionally been difficult to form because of the dominance of the Mexican state. However, numerous small NGOs have come to operate in microfinance, primarily limited to microcredit (though, on a more limited basis, some can and have offered savings). NGOs exist under diverse legal forms, and one prominent MFI, Compartamos, is a former NGO that has upgraded to become a bank and undertook an IPO in 2008. NGOs are subject to some taxes that some of their regulated competitors are not. This is one incentive for them to upgrade. Moreover, the limited ability to capture savings or (in the case of SOFOMEs) income from securities transactions provides another motive. Particularly if there are further extensions of the conversion for deadline, many seem likely to make the conversion as a matter of competitive necessity. (Personal interviews, August 2008, August 2007; Meagher et al, 2006).</t>
  </si>
  <si>
    <t>Credit NGOs and cooperatives/credit unions continue to operate as non-regulated MFIs; the latter are member-only (closed) institutions that specialise in consumer loans. There are still many NGOs that offer credit to their clients, and are not regulated nor supervised by the SBS. As a practical matter, NGOs that wish to engage in microfinance need—in addition to being already constituted as civil associations registered with the National Superintendency of Public Registries (SUNARP)—to be registered with the tax authorities, labour authorities, the municipality in which they operate and the Peruvian Agency for International Cooperation's registry of NGOs receiving international assistance. Although these are comparatively easy requirements to fulfill, NGOs face a tax on interest income and a cap on interest rates—in both cases unlike regulated institutions—and do not have access to some second tier funds; this provides an important incentive for them to try to meet the various requirements needed to upgrade into EDPYMEs. (Microfinance Gateway; Risolidaria Solidaridad en Internet 2004 [www.risolidaria.org.pe/manuales/manualong.pdf]; Personal interviews, August 2008, August 2007).</t>
  </si>
  <si>
    <t>The NGO sector consists of a few very small organisations, has not grown much, and has been hit hard by financial crises and by the lack of international funding for Uruguay. It is virtually impossible for these organisations to accumulate enough capital and a large enough client base to upgrade into regulated institutions, and the lack of a specialised vehicle to which they could turn is an additional obstacle. They could upgrade into SAs, a non-regulated form, which would give them somewhat more access to capital markets. Yet most have a more social orientation, and are not interested in becoming for-profit institutions. They would also have to upgrade processes and procedures in order to make this transition.  (Personal interviews, August 2008, September 2007).</t>
  </si>
  <si>
    <t>Specialised expertise and methodologies for microfinance are completely lacking, and four government entities compete with each other in shaping the sector in practice—the Central Bank/Financial Superintendency, Ministry of Finance, the Inspectorate General of Justice of the Ministry of Justice (which regulates the formation and organisation but not finances of SAs and NGOs), and Ministry of Social Development. This creates considerable confusion, and the latter Ministry is tied to an approach involving heavy use of subsidies. The only initiatives to try to disseminate best practices come from efforts by groups of institutions engaged in microfinance themselves, not from regulators. (Curat et al, 2007; personal interviews, August 2008, August 2007).</t>
  </si>
  <si>
    <t>Although the Central Bank has strong general regulatory capacity for the financial sector, it is weak in specialised knowledge, procedures and staff for microfinance (eg, special risk provisioning and credit scoring methodologies).  It also shares some responsibility for oversight of MFIs with the Ministries of Justice and (for the use of public resources from the Fundo de Amparo ao Trabalhador-FAT) Labour, and there is poor coordination among them. Even with regulatory innovations in the current decade such as OSCIPs, SCMs and correspondent banking, microfinance regulation remains underdeveloped.  The only operational definition of microcredit applies to those resources that banks and mainstream financial institutions must dedicated to social ends. The recent decision by the National Monetary Council raising the minimum capital for SCMs and allowing them to lend to small as well as microenterprises does not seem to reflect a preoccupation with the needs of microfinance promotion. (Meagher et al, 2006; personal interviews, July-August 2008, August 2007).</t>
  </si>
  <si>
    <t>Improved information about the impact of the regulatory and examination capacity from local informants has led to a lower score for this indicator compared to 2007. The SBIF does not treat microfinance as a separate activity with different rules, and does not have significant specialised staff knowledgeable about the sector. For instance, microlending portfolios are lumped together with consumer loans in the "non-evaluated category" for each regulated institution. The SBIF tends to have greater regulatory capacity and knowledge of banks than other regulated financial institutions. Regulations regarding provisioning, arrears, and the like tend to be uniform across different types of regulated institutions. (Padilla and Gillet 2001; personal interviews, August 2008, August 2007).</t>
  </si>
  <si>
    <t>In general, the Financial Superintendency is known for being very strict and professional in its regulation and enforcement. Regulated institutions must file daily, weekly, monthly, quarterly, semi-annual and annual reports. Annual audited financial statements must be published. In January 2008 a presidential decree specifically defined microcredit loans to microenterprises (as those in which total debts incurred for explicit business purposes to financial and other institutions do not exceed 120 times the national minimum wage, or $US30,800 currently, and as those to firms with not more than ten employees and no more than 500 times the minimum wage in assets, or US$128,200 currently).  This was a step forward, which distinguished microlending from consumer or housing loans and more carefully specified the boundary between small and microenterprises (for regulated institutions); it also specifically allows for personal visits and requires credit checks for such loans.  Recently,  microcredit was also recognised as a distinct type of loan for purposes of classification and provisioning.  Specialised capacity for regulation and supervision of microfinance thus have improved considerably of late.  (Microfinance Gateway; personal interviews, August 2007; Rosales, ICC, August 2008).</t>
  </si>
  <si>
    <t>General banking sector regulation by SUGEF has improved in recent years.  However, there is very little emphasis or knowledge about microfinance, and a clear legal definition is still lacking.  Microfinance portfolios in practice are mixed together with commercial and consumer loans, and institutions are not required to monitor the final destination of borrowed resources and frequently fail to do so.   (Personal interviews, August 2008; EIU, Risk Briefing, March 2008; EIU, Country Finance, February 2008)</t>
  </si>
  <si>
    <t>Although banks are generally well-regulated, the range of non-banking financial institutions often face problems, as do potential upgraders who are currently non-regulated. Specialised knowledge and procedures are often lacking (e.g., on provisioning), as are laws that would give greater regulatory guidance on microfinance for various categories regulated institutions. (Personal interviews, August 2008, August 2007; EIU, Country Finance, December 2007).</t>
  </si>
  <si>
    <t>General banking and financial institution regulation and supervision are weak, though they would improve markedly if legislation pending before parliament since mid-2007 were passed.  Specialised capacity for microfinance regulation is generally lacking, though the BRH is currently receiving technical assistance to set up a credit registry that would join the formal and informal sectors and include input from MFIs. (Personal interview, August 2008; Haiti:  Financial System Stability Assessment, February 5th 2008).</t>
  </si>
  <si>
    <t xml:space="preserve">While the 2001 law that created OPDS indicated some specialised capacity on the part of the CNBS, this capacity has not kept pace with the growth of the market.  There is still not a clear definition of microfinance, and upgrading paths across institutional forms are not as smooth and transparent as they might be. (Personal interview, August 2008)  </t>
  </si>
  <si>
    <t>The SBS enjoys a good reputation and was rated 96.6 out of 100 in 2005 by a combined World Bank-IMF mission for the quality of its general financial regulations and supervision. In microfinance, specific regulations and methodologies have been developed for regulated MFIs, such as loan-loss provisioning based on loan status (rather than institution type); increasingly thorough on-site inspection procedures; and increasingly stringent requirement for internal controls in MFIs. With the new legislative decree adopted in June 2008, the former "modular scheme" of Law 26702 requiring CRACs, CMACs, and EDPYMES to   apply for authorisation to perform additional non-savings operations besides microcredit only by meeting certain conditions of minimum capital and solvency and undergo an evaluation for that purpose essentially ended; in addition, CMACs, which are constituted at the municipal level, can now operate in other departments and provinces.  This reflects a certain perception that these specialised regulations institutions have acquired a maturity and sophistication that enables them to compete equally with other regulated institutions. SBS has a well-trained, professional microfinance department and specific reporting and risk provisioning requirements for microfinance. The adoption of this new decree expanding access to capital markets for regulated non-bank MFIs is the most recent testimony to the SBS's eagerness to promote competition in microfinance.  (Ebentreich, 2005; Microfinance Gateway; Personal interviews, August 2008, August 2007; Rosales, ICC, August 2008).</t>
  </si>
  <si>
    <t>Argentina has suffered episodes of political instability in the recent past, usually triggered by extreme economic stress. With the economy now stronger (notwithstanding inflationary risks), the risk of an unforeseen change of government is low, though cannot be ruled out. Mr Kirchner succeeded in weakening his opponents within the Peronist party and built his own political alliance, which Mrs Fernández has inherited. She has the support of a majority in Congress of provincial governors. However, because the Kirchners rely on the presidential powers of patronage rather than personal loyalty to build support with the political class, a loss of popularity-in the event of an inflationary spiral or hard landing, for instance--would weaken governability. A second term for the Kirchners raises concerns about transparency and institutions given their tendency to concentrate power. The personalization of politics and weakening of the traditional political parties has negative implications for stability.
(EIU Risk Briefing, April 2008).</t>
  </si>
  <si>
    <t>Two decades of democratic government and peaceful transitions of power ended in a turbulent period which saw the resignations of two presidents in 2002-05. This underlined the fragility of the political system and the polarisation between indigenous population in the western highlands and those living in the richer and ethnically distinct eastern departments. Governability has deteriorated as clashes between the government of Mr Morales, Bolivia's first indigenous president, and the opposition have increased markedly. Disagreements between the government and the opposition regarding a new constitution championed by the MAS and regional leaders' demand for departmental autonomy have led to a political impasse. Although Mr Morales has maintained high rates of popularity of around 55%, his government's authority seems to have weakened recently as support for regional autonomy has increased. There was a growing risk of political instability as the country prepared for a recall election in August. (EIU Risk Briefing, July 2008)</t>
  </si>
  <si>
    <t>Despite some isolated cases of corruption, the country's long-standing political stability is safe. The widespread respect for representative political institutions is unlikely to be challenged. Although Oscar Arias from the Partido Liberación Nacional (PLN) won the last presidential election with a small margin, the hand-over of power was smooth. The number of political parties in the unicameral legislature has increased since 2002 and consensus-building is slow. Good relations with the US, the pursuit of a trade agreement between Central America and the EU and efforts to implement the Dominican Republic-Central American Free Trade Agreement (DR-CAFTA) will be the main focus of policy in the short term. The ratification of DR-CAFTA by referendum in October 2007 has strengthened Mr Arias' mandate. Relations with Nicaragua have been strained over illegal immigration and Costa Rica's navigation rights on the San Juan border river, but we expect the two sides to resolve the issue peacefully.(EIU Risk Briefing, March 2008)</t>
  </si>
  <si>
    <t>Antonio Saca of Arena, who assumed the presidency in June 2004, will provide policy continuity and political stability until June 2009. We currently assume that Arena will remain in power, providing policy continuity. If the radical leftwing FMLN assumes power in 2009, political stability is unlikely to be at risk given that it will not have a majority in Congress forcing it to co-operate with the opposition. Given the polarised political environment in the run-up to the elections in early 2009 combined with a slowing economy, some public demonstrations are likely to persist. Public frustration with high levels of violent crime and public-sector corruption could all generate a rise in social unrest. Rising inflation and frustration with the privatised utilities, which largely reflects a failure of these companies to reduce prices as expected, could do the same. (EIU Risk Briefing, July 2008)</t>
  </si>
  <si>
    <t>Government formation and political transitions in Jamaica are orderly. Since independence all governments have been marked by large and stable parliamentary majorities. Third parties have been able to make inroads into the dominance of Jamaica's two main political parties, the ruling JLP and the PNP. Although the PNP for a time had a leftist policy stance, it has for many years espoused a market-oriented pro-business policy similar to that of the JLP, and differences between the parties are a matter of degree only. Given the potential for Jamaica's huge public debt burden to destabilise the economy, there is a broad political consensus on the need for a disciplined fiscal stance, though there is a modest risk that political pressures will create pressure for destabilising fiscal policy reversals. Historical links between criminal "dons" and politicians are weakening, as evidenced by low levels of political violence along party lines in the run-up to the general election in August. (Risk Briefing, May 2008)</t>
  </si>
  <si>
    <t>A 2004 IDB survey of 43 Colombian non-financial companies (published in 2005) showed "slow and poor" implementation of good governance  But Law 964 of 2005 required listed companies to have 25% independent directors by mid-2006; implementing regulations subsequently required firms to have at least one independent director by that date, and to reach the 20% threshold by 2007.  There are unspecified sanctions applicable by the Superintendencia Financiera if firms do not meet that timetable.  By October 2006, the Superintendencia reported that only 5% of listed firms lacked independent directors (down from 29% in its own survey four months earlier), while 45% of companies had 26% or more of independents, 12% had a quarter, and 4% had 15-24% independents (34% of firms were non-reporting).  More recent data have not been published.   Law 964 also created corporate governance standards for issuers in general, covering board member elections, proposals submitted by minorities, disclosure of shareholder agreements, independent directors, and audit committees. In 2007, a voluntary and more elaborate corporate code ("codigo pais") for all firms was adopted, with 41 provisions on subjects such as tender offers, related party transactions, audit committees, etc.;  by the time of participating companies' first shareholders' meetings of 2008 they were required to report on their compliance (it is not clear how many have done so) and requested to explain why if they are not yet in compliance.   The Superintendencia will then review the veracity of the information submitted by the issuers.  It remains to be seen in coming years if this promising new measure will improve corporate governance in unlisted firms and institutions. Among NGOs, though formal requirements do not exist, governance standards are often solid, due to self-regulation in part to meet the concerns of potential foreign and domestic lenders and investors. The Superintendency has a specialised corporate governance department. (Personal interviews, August 2008, August 2007; OECD Roundtable, 2007; Diario La República, 2005; EIU, Country Finance, July 2008; EIU, Country Commerce, January 2008).</t>
  </si>
  <si>
    <t>There is a small public registry mostly restricted to information by and for banks, and three private bureaus.  Most MFIs use the private bureaus, including the non-regulated. The quality of data relevant to microfinance appears to be reasonably good.  Costa Rica has a Credit Information Index score of 5.0 out of a maximum of 6.0 on World Bank Doing Business (2008), which compares to a regional average of 3.4. The public registry covers 6.1% of the adult population, and private bureaus cover 52.7%.</t>
  </si>
  <si>
    <t>Both a public registry and private bureaus exist, and are widely used, with private bureau coverage and usage increasing in particular.  Efforts are being made to integrate the information, though much more needs to be done. The country receives the highest score (6.0 of 6.0) on the Credit Information Index of the World Bank's Doing Business (2008), above the regional average of 3.4; the public registry covers 13.3% of adults (compared to an 8.1% regional average and 8.6% for the OECD), and private bureaus cover 35.4%  (compared to a 32.1% average for the region and 59.3% for the OECD). (Personal interviews, August 2008, August 2007).</t>
  </si>
  <si>
    <t>Credit bureaus, both public and private, are well developed and regulated. Ecuador has a Credit Information Index score of 5.0 out of a maximum of 6.0 on World Bank Doing Business (2008), which compares to a regional average of 3.4. The public registry covers 37.9% of the adult population, and private bureaus cover 44.1%.  (Personal interviews, August 2008, August 2007)</t>
  </si>
  <si>
    <t>There are separate private bureaus used by regulated and non-regulated institutions, respectively. There is also a public registry, though it tends not to cover transactions by and with small and micro-businesses. Measuring the extent of information available, the World Bank's Doing Business (2008) gives El Salvador a maximum 6.0 out of 6.0 on its Credit Information Index, compared to a regional average of 3.4 and an OECD average of 4.8. It reports that 17.2% of adults are covered by the public registry (down from 30.5% in 2006) and that private bureaus cover 74.6% of the adult population. (Personal interviews, August 2008, August 2007).</t>
  </si>
  <si>
    <t>Regulated lenders choose whether or not to grant credit on the basis of information supplied by the public Credit References Corp (CREDIREF) about credit standing, financial situation, payment capacity and level of indebtedness. Bank, cooperatives and commercial lenders, however, are often weakly integrated into CREDIREF data, which also do not reflect transactions with non-regulated institutions. Bureaus are not allowed to publish long-term credit history due to out-dated legal restrictions. Private bureaus have not been very active, though a recent Central American regional bureau set up by Trans Union, TUCA, now operates there and private bureau coverage is increasingly from a very small base. Nonetheless, the World Bank's Doing Business (2008) continues to give Guatemala a 5.0 out of a possible 6.0 on its Credit Information Index (compared to a regional average of 3.4 and an OECD average of 4.8). The public registry covers 20.7% of adults (up from 16.1% in 2006), compared to a regional average of 8.1% and an OECD average of 8.6%).  Private bureaus cover 13.1% (up from 9.2% in 2006),  compared to averages of 32.1% and 59.3%, respectively). (de Janvry et al, 2003; Personal interviews, August 2008, August 2007).</t>
  </si>
  <si>
    <t>The lack of good credit information has been a major obstacle, and the BRH is currently undertaking to form a public registry that would cover the formal as well as informal sectors of the economy, and seeking input from MFIs.  Haiti has a Credit Information Index score of 2.0 out of a maximum of 6.0 on World Bank Doing Business (2008), which compares to a regional average of 3.4. The public registry covers 0.7% of the adult population, and private bureaus are not in use. (Personal interview, August 2008)</t>
  </si>
  <si>
    <t>There is public registry and several private bureaus, which tend to cater to banks.  Finance companies, OPDS, and NGOs tend not to use them, however, because they are expensive and have limited relevant information. Institutions other than banks also tend not to report their data to these bureaus.  Honduras has a Credit Information Index score of 6.0 out of a maximum of 6.0 on World Bank Doing Business (2008), which compares to a regional average of 3.4. The public registry covers 12.7% of the adult population, and private bureaus cover 58.0%.</t>
  </si>
  <si>
    <t xml:space="preserve">Jamaica has a Credit Information Index score of 0.0 out of a maximum of 6.0 on World Bank Doing Business (2008), which compares to a regional average of 3.4. The public registry is virtually nonexistent as it does not have any adult population data; this is also the case with private bureaus (which also exist in theory but are not used in practice). </t>
  </si>
  <si>
    <t>A former public registry covering mostly middle- to- upper-income Mexicans no longer operates, though there is a private bureau that works with larger MFIs and banks have their own bureau; both report positive as well as negative information. Smaller MFIs rely upon their own joint bureaus called "circulos," though many MFIs are reluctant to report information on their clients.  Of the two major regions where MFIs operate most, the quality of credit information is much greater in central than in southern Mexico. Mexico scores 6.0 out of 6.0 on the World Bank's Doing Business (2008) Credit Information Index, compared to a regional average of 3.4 and an OECD average of 4.8. The study reports that private bureau coverage is 61.2% of adults (down from 69.5% a year earlier), compared to a regional average of 32.1% and a 59.3% OECD average.  (Personal interviews, August 2008, August 2007).</t>
  </si>
  <si>
    <t>There are both public and private credit bureaus. NGOs have their own for-profit bureau, which seem to be offering improved data and recently to have expanded coverage significantly. There continue to be some problems in the integration of data from public and private bureaus, however. Nicaragua has a Credit Information Index score of 5 out of a maximum of 6 on World Bank Doing Business (2008), which compares to a regional average of 3.4. According to the same source, the public registry covers 14.8% of the adult population, and private bureaus cover the entire adult population (100.0%).  (Personal interviews, August 2008, August 2007).</t>
  </si>
  <si>
    <t>For regulated institutions, there are established and fairly reliable credit bureaus, which provide both positive and negative information about borrower transactions and disseminate it reasonably widely. Information about dealings with non-regulated institutions is generally not available. Credit unions have their own, more unevenly effective credit bureau, while NGOs lack such a system. Paraguay has a Credit Information Index score of 6.0 out of 6.0 on World Bank Doing Business (2008), which compares to a regional average of 3.4. The public registry covers 11.0% of the adult population, and private bureaus cover 48.7%. (Personal interviews, August 2008, August 2007).</t>
  </si>
  <si>
    <t>The SBS collects information from all debtors of the financial system, and consolidates it in its credit bureau. It also sells the information to two private credit bureaus (Infocorp and Certicom), which complement that information with other sources (utilities, tax collector, retail stores etc). Both positive and negative information on prospective clients is reported, and information on all clients of regulated financial institutions is reported, though the timeliness of information is sometimes wanting. Peru has a Credit Information Index score of 6.0 out of a maximum of 6.0 on World Bank Doing Business (2008), which compares to a regional average of 3.4. The public registry covers 20.7% of the adult population (up from 19.2% a year earlier), and the private bureaus cover 33.0% (up from 28.6%).  Regulated institutions use the public credit registry consistently, but non-regulated institutions vary in their usage. At both types of institutions, there tends to be continued reliance on informal contacts at other institutions and banks to check on prospective clients.  NGOs also have their own credit bureau.  (Ebentreich, 2005; De Janvry et al 2003; Microfinance Gateway; Personal interviews, August 2008, August 2007).</t>
  </si>
  <si>
    <t>This remains a major regulatory weakness according to local informants.  While Uruguay has a public registry controlled by the banking superintendency, it remains effectively closed to non-regulated institutions, which do not send information to it as a result. Under a decision adopted last year but still lacking implementing regulations, such institutions will in the future enjoy access, though it is not yet known on what exact terms.  Thus, MFIs must still resort to private bureaus.  The quality and breadth of the information available through such bureaus is questionable, as many transactions are excluded and only negative information is available. Nevertheless, Uruguay is awarded a score of 1.0 for this model due to its high Credit Information Index score of 6.0 out of a maximum of 6.0 on World Bank Doing Business (2008) (the regional average is 3.4). The public registry covers 14.1% of the adult population, and private bureaus cover 93.8%. (Personal interviews, August 2008, September 2007).</t>
  </si>
  <si>
    <t>Until about 2005, there was a public credit bureau which provided information on late payments, but it no longer operates. Debtors have strong rights and political support that make credit bureaus taboo, and MFIs operate in a near total vacuum of credit information. The World Bank's Doing Business survey (2006) assigns Venezuela a 0.0 (out of a possible 6.0) on its Credit Information Index. This compares to a regional average of 3.4 and an OECD average of 4.8. Adult population data is not available through public registries or private bureaus, as data coverage is reported at  0% of the population. (Personal interviews, August 2008, August 2007).</t>
  </si>
  <si>
    <t>The competitive environment has improved thanks to the entry of two new banks, which has improved last year's HHI score from 4,702 to 2,479; however, the level of competition overall is still low, as the market size remains small.  (All figures for HHI calculations were supplied by Sergio Navajas and Paola Andrea Pedroza of the IDB in August 2008).</t>
  </si>
  <si>
    <t>There has been no change in Bolivia's competitive environment over the scoring period; the level of competition remains fairly high, with an HHI value of 1,303 compared to last year's 1,460. The number of institutions and market size are large by regional standards. (All figures for HHI calculations were supplied by Sergio Navajas and Paola Andrea Pedroza of the IDB in August 2008).</t>
  </si>
  <si>
    <t>Brazil's microfinance sector is fairly underdeveloped; the total market size is very low by regional standards and relative to the population. Its market is also very complex, since data and HHI calculations operating under different assumptions set the level of competition at varying strengths. A select few institutions, namely CrediAmigo and the government's push for banks to provide services of "recursos direcionados" have absorbed large parts of the market. Consequently, Brazil's score remains unchanged at 0 for the 2007-2008 scoring period. (All figures for HHI calculations were supplied by Sergio Navajas and Paola Andrea Pedroza of the IDB in August 2008 and a 2007 Report by the Central Bank of Brazil).</t>
  </si>
  <si>
    <t>Chile's competitive score remains at the lowest possible level, as its HHI has worsened from 4,166 for 2007 to 6,172 for 2008. (All figures for HHI calculations were supplied by Sergio Navajas and Paola Andrea Pedroza of the IDB in August 2008).</t>
  </si>
  <si>
    <t>The competitive market environment has improved, as reflected by Colombia's improved HHI score of 1,205 for 2008 relative to 2,207 for 2007. (All figures for HHI calculations were supplied by Sergio Navajas and Paola Andrea Pedroza of the IDB in August 2008).</t>
  </si>
  <si>
    <t>Costa Rica shows a very high level of market concentration, with Programa BN Desarrollo of Banco Nacional covering much of the market. Only three other institutions maintain a market share of any importance, and the overall number of providers remains moderate by regional standards. (All figures for HHI calculations were supplied by Sergio Navajas and Paola Andrea Pedroza of the IDB in August 2008).</t>
  </si>
  <si>
    <t>Although the market has a competitive character and was qualitatively scored to indicate this for 2007, this character is not due to market structure. Recent data indicate that the low number of players in the market and their uneven market share splits make consolidation and monopolisation a real risk (the HHI index was 4,084). Thus the Dominican Republic thus scores significantly lower on this metric for 2008. (All figures for HHI calculations were supplied by Sergio Navajas and Paola Andrea Pedroza of the IDB in August 2008).</t>
  </si>
  <si>
    <t>Ecuador's microfinance environment remains competitive, with an HHI score of 629 for 2008. The number of institutions providing microfinance is high, and the market is large by regional standards. (All figures for HHI calculations were supplied by Sergio Navajas and Paola Andrea Pedroza of the IDB in August 2008).</t>
  </si>
  <si>
    <t>Qualitative assessments from 2007 set El Salvador's market environment at a fairly competitive score of 2, slightly behind Nicaragua; data for 2007 show that the current situation remains competitive, with an HHI value of roughly 1,480. (All figures for HHI calculations were supplied by Sergio Navajas and Paola Andrea Pedroza of the IDB in August 2008).</t>
  </si>
  <si>
    <t>Although the HHI index of 2,498 implies a moderately competitive market deserving a score of 1, the small market size and minimal number of institutions in the country indicate that the environment is uncompetitive. Three market players hold between 20% and 30% market share, with the remaining institutions holding as much as 4-8% shares. (All figures for HHI calculations were supplied by Sergio Navajas and Paola Andrea Pedroza of the IDB in August 2008).</t>
  </si>
  <si>
    <t>Honduras exhibits a reasonably competitive environment, with a score of 1,024. Numerous institutions provide microfinance services, and the market size is roughly equal to that of El Salvador, another fairly competitive environment. (All figures for HHI calculations were supplied by Sergio Navajas and Paola Andrea Pedroza of the IDB in August 2008).</t>
  </si>
  <si>
    <t>Although Jamaica receives an HHI index of 1,857, the market is very small by regional standards and indicates an underdeveloped sector. (All figures for HHI calculations were supplied by Sergio Navajas and Paola Andrea Pedroza of the IDB in August 2008).</t>
  </si>
  <si>
    <t>As of 2007, there was little competition among MFIs, with an HHI score of 2,417; according to an informant, competition was still low, but growing. Interest rates and costs remained high. (Personal interview, August 2007). Since then, data shows that the market has not grown in a more competitive direction, showing an even higher HHI score of 3,001 for 2008. (All figures for HHI calculations were supplied by Sergio Navajas and Paola Andrea Pedroza of the IDB in August 2008).</t>
  </si>
  <si>
    <t>According to last year's model, Nicaragua was considered one of the five most competitive markets in the region. Recent data from 2007 reflect this context, producing' an HHI value of 1,105. (All figures for HHI calculations were supplied by Sergio Navajas and Paola Andrea Pedroza of the IDB in August 2008).</t>
  </si>
  <si>
    <t>Panama's high HHI score of 6,844 reflects the few institutions operating in the country and small market size. (All figures for HHI calculations were supplied by Sergio Navajas and Paola Andrea Pedroza of the IDB in August 2008).</t>
  </si>
  <si>
    <t>The level of competition has decreased slightly in Paraguay in terms of the HHI score, from 1,719 to 2,775. This is attributed to consolidation between banks and portfolios, as a result of the country's regulated environment. The largest changes noted were an increase in the size of Cooperativa Universitaria's portfolio relative to overall market size, and a five point drop in market share by last year's biggest player, Vision Banco (which covers nearly one third of the market). (All figures for HHI calculations were supplied by Sergio Navajas and Paola Andrea Pedroza of the IDB in August 2008).</t>
  </si>
  <si>
    <t>Peru's market remains highly active and very large by regional standards, receiving an HHI value of 759 (similar to last year's HHI of 781). (All figures for HHI calculations were supplied by Sergio Navajas and Paola Andrea Pedroza of the IDB in August 2008).</t>
  </si>
  <si>
    <t>Although Uruguay's HHI index improved significantly from 5,663 for 2007 to 2,576 for 2008, this change does not indicate a real change in competitive environment. This is due to the fact that the number of MFIs in Uruguay is small and two institutions have ceased to operate over the scoring period, which reduces the competitive pressure normally created by a more even market split between players. (All figures for HHI calculations were supplied by Sergio Navajas and Paola Andrea Pedroza of the IDB in August 2008).</t>
  </si>
  <si>
    <t>There has been no change in Venezuela's competitive environment; the high HHI score of over 5,000 continues to reflect the reality that there are few institutions and the market is very small. (All figures for HHI calculations were supplied by Sergio Navajas and Paola Andrea Pedroza of the IDB in August 2008).</t>
  </si>
  <si>
    <t>Panama has a Credit Information Index score of 6.0 out of a maximum of 6.0 on World Bank Doing Business (2008), which compares to a regional average of 3.4. However, the direct usefulness of this single indicator for microcredit and microborrowers can be limited, since it mainly assesses large institutions and formal-sector transactions. More important in this case, despite the existence of private bureaus there is no public registry. Private bureaus cover 41.6% of the adult population but public bureaus do not contain adult population data (0%). Information quality is also very uneven.  
 (Personal interviews, August 2008)</t>
  </si>
  <si>
    <t>Of all institutions engaged in or potentially moving into microfinance, private banks have the best governance, in part because financial-sector regulators have rooted out several floundering banks marred by mismanagement in recent years through closures, bankruptcies, and consolidations. Practices at state-owned banks (which through BNCR have a stronger presence in microfinance) can be more opaque, because of the role of political appointments.  Governance practices are quite varied at NGOs (the most numerous MFIs), with some practicing good transparency and accountability through self-regulation promoted by NGO networks while others do not. Cooperatives, despite having their own assembly governance structure, lack strong external oversight, particularly where not regulated, and sometimes present governance shortcomings. According to World Bank Doing Business (2008), Costa Rica has a score of 3.0 out of 10 on the Investor Protection Index, compared with a regional average of 5.1 (Personal interviews, August 2008; EIU, Country Finance, February 2008)</t>
  </si>
  <si>
    <t>There is no set of comprehensive voluntary or binding corporate governance requirements, though some aspects (on audits, voting rights, etc.) would be addressed in the Ley de Sociedades (companies law) that is currently under consideration.  Independent auditors may attend annual shareholders' meetings but are not required to do so, meaning minority board members do not always have access to timely financial information. The legal oversight figure of legal representatives (comisarios) have conflicting responsibilities of external oversight and internal provision of advice. Financial reforms have improved regulation, but concerns persist over sanctions and policing of financial reporting. The World Bank's Doing Business (2008) continues to rate the Dominican Republic 4.0 on a scale of 10.0 in terms of its Investor Protection Index, compared to a regional average of 5.   (European Corporate Governance Institute 2008; EIU, Country Risk Summary, August 2007; IFC, Report on Observance of Standards and Codes, December 2004; personal interviews, August 2008, August 2007).</t>
  </si>
  <si>
    <t>Economy-wide, minority rights are covered in the corporate governance norms that CAF has developed and for which it, along with other international agencies, is providing Ecuadorian firms training and technical assistance over a four-year period in cooperation with the Quito stock exchange. But this is a voluntary undertaking for listed firms, and banks did not choose to enter.  There remains some reluctance in the country to open up an institution's capital (in part because of fears of money-laundering by drug-traffickers), as well as to adhere to the higher standards of corporate governance and shareholder rights that a public listing would entail. According to World Bank Doing Business (2008), Ecuador has a score of 4.0 out of 10 on the Investor Protection Index, compared with a regional average of 5.1. Among credit unions and NGOs, there continues to be reluctance fully to embrace good governance practices.  (Personal interviews, August 2008, August 2007; EIU, ViewsWire Ecuador, April 18th 2008).</t>
  </si>
  <si>
    <t>Basic governance and transparency requirements are lacking, and governance of financial institutions is "poor" and "weak," in the view of the IMF.  Standards are generally lower and more uneven at non-regulated institutions, though some NGOs have reasonably sound practices.  Cooperatives have their own governance structure though the Fund has criticised their financial management and regulation.    According to World Bank Doing Business (2008), Haiti has a score of 3.0 out of 10 on the Investor Protection Index, compared with a regional average of 5.1 (IMF, Haiti:  Financial System Stability Assessment, February 5th 2008; Personal interview, August 2008)</t>
  </si>
  <si>
    <t>Some MFIs do not want to be transparent, and the ability of the federated governance structure to provide transparency and accountability in the new MFI juridical forms remains unproven to date.  The federated governance structure of the newly created microfinance-specific legal forms remains untested in practice for this activity. NGOs are self-regulating, with varying standards and efforts at benchmarking. Economy-wide, corporate governance practices remain a concern, though there have been legal improvements since the beginning of the current decade for publicly traded firms: a requirement of 25% independent directors, the ability of a majority of independent directors to form audit committees, some violations now treated as criminal offences and the strengthening of minority rights. Also, a private institute and a voluntary code for corporate governance have been established. Lingering concerns remain weak oversight and reporting requirements (firms must report annually on non-compliance but with no clear penalties), little regulation of non-traded firms, and the prevalence of tight family and personal networks in running business. The World Bank's Doing Business (2008) gives Mexico a 6.0 out of 10.0 on its Investor Protection Index, compared to a regional average of 5.1 and an OECD average of 6.0. (EIU, Country Finance, March 2008, March 2007; OECD, Latin American Corporate Governance Roundtable; personal interviews, August 2008, August 2007).</t>
  </si>
  <si>
    <t>There is weak transparency of finances and decision-making, particularly for closed SAs (SAs may take either a closed or open form).  SAs formally report to the National Internal Comptroller (Auditoria Interna de la Nacion), which is part of the Ministry of Education and Culture. Internal auditing is compulsory for open SAs and optional for closed SAs. A fiscal commission conducts the internal auditing; the commission comprises three or more members, who must be compensated, need not be shareholders and must be appointed by the shareholders’ meeting. If there is suspicion of serious mismanagement, disclosure of company books, nominative share registry and minutes of meetings are required in response to a formal request by shareholders representing at least 10% of capital. Minority shareholder rights are generally weak in law and practice, even among listed firms. According to World Bank Doing Business (2008), Uruguay has a score of 5.0 out of 10 on the Investor Protection Index, compared with a regional average of 5.1.There is no regulation of NGO governance norms and they vary in practice across organisations; there is little self-regulation. Cooperatives are governed by norms set nationally for cooperatives, though practices vary.  (EIU, Country Commerce, April 2008, April 2007; Personal interviews, August 2008, September 2007).</t>
  </si>
  <si>
    <t>The Central Bank is the main financial regulator, though it does not regulate microfinance per se and virtually all MFIs are in fact non-regulated, taking the form of either sociedades anonimas (SAs), NGOs, or non-regulated credit unions/cooperatives (regulated cooperatives tend not to be active in microfinance). In practice, if a regulated institution would like to operate in microfinance (as the state-owned Banco Republica currently has plans to do), it must open a separate, non-regulated SA. Other regulated institutions, namely private banks, finance companies, and regulated savings and credit co-operatives (credit unions) which take deposits from the public (i.e, not just members), could in principle do this, but none has an incentive to do so or has experience in the sector. Documentation requirements and capital-adequacy standards for regulated financial institutions are not burdensome, and there is no financial supervision for non-regulated ones.  Interest rates are subject to a ceiling that is based on a certain percentage above the average rate of the financial system. While there is no subsidised state component in first-tier operations at the moment, the plans of the Banco Republica (which constitutes half of all financial system transactions) to create a microfinance unit as an SA raise the prospect of unfair state competition looking forward. Entry into the microfinance sector by the Banco República would also be problematic because the bank has had opaque finances and problems with loan defaults at various times, and it does not pay certain taxes that other financial institutions are subject to. (Personal interviews, August 2008, September 2007; IDB internal project document, August 4th 2005).</t>
  </si>
  <si>
    <t>There is no requirement to publish effective rates, and the practice is not common. Regular external audits and ratings are not required of non-regulated institutions and are still uncommon--none of the nine Argentina MFIs listed in MIX Market (five NGOs, 4 SAs) is currently rated.  External audits are only beginning to appear somewhat thanks to pressure for external audits coming from international funders and self-regulation through MFI networks such as RADIM.  The expense of undergoing external ratings, given the absence of specialised international microfinance rating agencies in Argentina and the fees charged by mainstream international ratings agencies to conduct evaluations there, is a large obstacle for a small organisation. (Curat et al, 2007; Personal interviews, August 2008, August 2007).</t>
  </si>
  <si>
    <t>All regulated institutions are legally required to be externally rated and audited, while many NGOs are similarly scrutinised as a matter of practice. Effective interest rates could be more widely disseminated, however. Under the Law on Banks, reporting and disclosure requirements for regulated institutions are high, and graduated by type of institution. Banks, FFPs, mutual benefit societies, and open cooperatives/credit unions must all submit annual financial statements with an external auditor's report to SBEF; must publish financial statements twice per year in nationwide newspapers; and internal auditors must disclose any non-compliance with standards or legal provisions to shareholders, partners, associates, and the SBEF. FFPs and open cooperatives/credit unions must also provide more detailed and timely information: monthly portfolio recovery statistics; portfolio classification; anticipated payments; pending accounts; costs to recover; assets and liabilities; deferred charges; items pending charges; obligations with financial entities; and subordinated obligations. As regulated MFIs, FFPs, open cooperatives and mutual benefits societies must each submit about 500 statements annually to the SBEF. For non-regulated MFIs, legal requirements are somewhat weaker. Closed cooperatives/credit unions must provide members with access to designated financial information updated every three months, while NGOs must report, as part of their registration renewal, every three years on loan portfolio (current, late and lost) with respect to region, branch, target population and credit methodology, as well as financing, goals and objectives for past and future projects. Of the nine NGOs listed in MIX Market, seven are externally rated. (Microfinance Gateway; personal interviews, August 2008, August 2007)</t>
  </si>
  <si>
    <t>Among regulated institutions (banks, credit unions and SCMs) external audits are required on a regular basis; however, the structure of external ratings for MFIs is not well developed in Brazil, and relatively few institutions undertake them. Among OSCIPs and traditional NGOs, practices vary (four of the six NGOs listed in MIX Market are rated, compared to three of four a year earlier). Effective interest rate disclosure is required for regulated institutions.  While disclosure of effective rates is not required of non-regulated institutions (which are subject to usury laws),  hiding of fees and commissions is not particularly problematic in practice. (Microfinance Gateway; Meagher et al, 2006; personal interviews, July 2008, August 2007).</t>
  </si>
  <si>
    <t>Annual external audits are required for banks and other regulated financial institutions; ratings are not required, and only one of the two banks listed in MIX Market (ADOPEM) is rated (Banco ADEMI is not).  Regulated institutions must publish financial statements in the media and must also display interest rates, expenses and commissions applied to different transactions and the price of their financial services in all offices. NGOs do not face these requirements, and their practices on interest rate disclosure and external ratings and audits vary more widely and depend largely on the strength of self regulation and pressures from funders. Of the four NGO MFIs listed in MIX Market, only one is externally rated (compared to one of five listed a year earlier). (Microfinance Gateway, 2008; Personal interviews, August 2008, August 2007).</t>
  </si>
  <si>
    <t>The level of competition in Guatemala’s microfinance industry has improved, and the composition of the market has changed significantly in the past year.  In 2007, Banco de Desarollo Rural, Banco del Café and Genesis EMP (with a market share ranking in that order) were all major players. Banco del Cafe has since gone out of business, and Banco de Desarollo Rural's market share was reduced this year to reflect the smaller size of its microfinance portfolio relative to its overall portfolio. After a period of rapid growth, G&amp;T Continental now has the largest market share. As a consequence Guatemala's HHI index is now much lower than for 2007, at a value of 674. (All figures for HHI calculations were supplied by Sergio Navajas and Paola Andrea Pedroza of the IDB in August 2008).</t>
  </si>
  <si>
    <t>Banks must submit quarterly statements, publish audited financial statements in two newspapers during the first 60 days of the year, and publish a balance sheet and provisional liquidity three times a year. They also must be annually classified by a risk-classifying agency registered in the Public Stock Exchange Registry with the Securities Commission. Savings and credit co-operatives must submit annual external audits, and publish audited financial statements in a newspaper during the first 60 days of the year, and publish a yearly balance sheet in a newspaper. Federations must have an auditing committee which reports to the Commission. Cooperative associations must submit monthly financial statements to the Salvadoran Cooperative Development Institute. SGRs must disclose their financial statements to the Superintendency in the manner in which the Commission sees fit. NGOs must formally account for their capital using established accounting standards and submit an annual audited balance sheet to the Ministry of Interior’s Registry; auditors are obligated to inform the organisation's general assembly and the El Salvador’s Court of Accounts if there is an irregularity in the administration of capital. External ratings are not common among co-operatives or NGOs, though they are more common (albeit not obligatory) among banks. Disclosure and dissemination of effective interest rates is voluntary, and practices vary across institutions. (Microfinance Gateway; MIX Market; Personal interviews, August 2008, August 2007).</t>
  </si>
  <si>
    <t>Banks and finance companies must undertake external audits and are encouraged but not required to conduct external ratings. These regulated institutions also must divulge effective interest rates. However, non-regulated institutions (credit unions and NGOs) do not face these requirements, and generally do not engage in these practices.  (Personal interviews, August 2008; EIU Country Finance February 2008; MIX Market)</t>
  </si>
  <si>
    <t>Regulated institutions are required to disclose effective interest rates on a frequent basis via the internet. Non-regulated institutions often do not do so in practice (and face no legal obligation) since they face interest rate ceilings and thus compensate with hidden fees. Regulated institutions must publish a balance-sheet summary in El Peruano, the official state newspaper, each year, though those with total assets of less than 91 tax units may submit unaudited accounts. Disclosure requirements are much more stringent for publicly quoted companies (such as banks and finance companies), which must submit audited accounts annually and unaudited accounts quarterly to the Conasev. External ratings are required of other regulated institutions (EDPYMEs, CRACs, and CMACs) on an annual basis from 2010 (as is now true of banks), under the presidential decree of June 2008.     NGOs have varying practices, with pressures for self-regulation coming from voluntary associations and from international funders; roughly half of the NGO MFIs listed in MIX Market are externally rated. (EIU, Country Commerce, June 2008; Ebentreich, 2005; De Janvry et al, 2003; Microfinance Gateway; Personal interviews, August 2008, August 2007; MIX Market; Rosales, ICC, August 2008).</t>
  </si>
  <si>
    <t>Regulated institutions have innovated in expanding services (savings on the part of regulated institutions, fund transfer, health insurance, hazard insurance, financial leasing etc). NGOs offer more limited services. (Personal interviews,August 2008, August 2007; MIX Market).</t>
  </si>
  <si>
    <t>Banks tend to offer a few services beyond micrcocredit, such as savings, debit cards, and remittances (the latter of which are dominated by the BNCR). Insurance was until very recently a state monopoly, but must be opened to private firms under CAFTA, and this process of liberalisation is now underway and may open opportunities for microinsurance for some MFIs.    NGOs, the most numerous MFIs, are mostly mono-product, restricted to credit.  Cooperatives offer savings and loans to the general public (if regulated) and only to members (if not), and sometimes offer services such as fund transfers and debit cards.  (Personal interviews, August 2008; MIX Market)</t>
  </si>
  <si>
    <t>Many MFIs in Ecuador offer a moderate range of services beyond microcredit, particularly savings, fund transfer, and in some cases insurance.  NGOs tend mostly to be restricted to microcredit, while credit unions tend to be limited to mostly savings and loans. There is still room for more innovation, and some institutions continue to confront technological problems in terms of offering services such as debit cards and electronic funds transfers.  (MIX Market; Personal interviews, August 2008, August 2007).</t>
  </si>
  <si>
    <t>The range of services, while it has grown somewhat, remains limited. A few institutions offer insurance or savings or fund transfer, but the majority offer only one product, traditionally credit.   (MIX Market, 2008; Personal interviews, August 2008, August 2007).</t>
  </si>
  <si>
    <t xml:space="preserve">Regulated institutions tend to offer voluntary savings (to those clients which have loans or other transactions with them), in some cases funds transfers, and in only a few, insurance.  Most NGOs offer only microcredit. (MIX Market; Personal interview, August 2008) </t>
  </si>
  <si>
    <t>The "big two" regulated institutions—Banco ProCredit Nicaragua and Financiera Nicaragüense de Desarrollo SA (FINDESA)—have portfolios that exceed the combined portfolio of all NGOs, and they do offer a wide range services (savings, CDs, remittances, payment services, etc). The numerous but small NGOs generally increasingly offers some services beyond microcredit (at least among those listed IN MIX Market), such as fund transfer or insurance or a limited form of "voluntary savings" for those who have loans or other transactions with these institutions.  Non-banking financial institutions offer fund transfer and in some cases savings and/or insurance. Credit unions take deposits and make loans, but only for their members and not always restricted to a firm size or income level that could be readily classified as microfinance; some also handle remittances. (Personal interviews, August 2008, August 2007; MIX Market).</t>
  </si>
  <si>
    <t>MFIs offer a limited to modest range of additional services, varying by institution and institution type. All but the NGO-based institutions offer savings accounts, while some NBFIs and banks tend to also offer fund transfer/remittances (but generally not insurance). (Personal interviews, August 2008, August 2007; MIX Market).</t>
  </si>
  <si>
    <t>This is generally a mono-product industry, with institutions (whether SAs, NGOs or cooperatives) offering micro-credit only; non-regulated cooperatives operating in microfinance offer savings, but only to their members.   Currently, no MFIs offer microinsurance, and remittances/funds transfers are rarely offered, and tend to be dominated by regulated, non-microfinance institutions. (Personal interviews, August 2008, September 2007).</t>
  </si>
  <si>
    <t>The country has 26 private bureaus plus a public registry (sistema veraz), but none is specific to microfinance.  Most of the data come from the formal financial system, are often dated, and are thus of limited utility, though lately some improved information from small-scale consumer lending has become available.  NGO MFIs are trying to set up their own bureau.  Argentina has a Credit Information Index score of 6.0 out of a maximum of 6.0 on World Bank Doing Business (2008), which compares to a regional average of 3.4. According to the same source, the public registry covers 25.5% of the adult population, and private bureaus 100%. (Personal interviews, August 2008, August 2007).</t>
  </si>
  <si>
    <t xml:space="preserve">Since the debt crisis of 1998-2001, the SBEF has issued regulations for opening private credit bureaus to allow regulated MFIs to access credit information provided by unregulated MFIs, and vice-versa. Also, private bureaus now share information with the central public registry (CIRC). Clear regulatory distinctions have been drawn since 1999 between microcredit and consumer lending (which is based on formal wages as the basis for credit and repayment, longer tolerance for arrears and garnishing of wages for default). There also continues to be some use of informal credit bureaus, information vendors and blacklists, though much less so with the increased prominence of private bureaus and increasing quality of data on prospective borrowers. World Bank's Doing Business (2008) gives Bolivia a 5.0 out of a possible 6.0 on its Credit Information Index, compared to a 3.4 regional average and a 4.8 OECD average; the public registry covers 11.5% of adults (compared to 7.0% and 8.4%, respectively), while private bureaus cover 32.3% (compared to 27.9% and 60.8%, respectively). (ASOFIN 2006; De Janvry et al, 2003; personal interviews, August 2008, August 2007). </t>
  </si>
  <si>
    <t>The public and private bureaus do not cover microfinancial and other transactions by the lowest income borrowers, and only regulated institutions have access to the public registry, whose data are restricted to transactions above 5,000 Reais (about US$3,055). In private bureaus, on which MFIs must rely more, only negative information tends to be available.  The World Bank's Doing Business (2008) gives Brazil a 5.0 out of 6.0 score on its Credit Information Index (the same as a year earlier), compared to a regional average of 3.4 and an OECD average of 4.8. The study reports that 17.1% of adults are covered by the public registry (compared to 8.1% and 8.6%, respectively) and 46.5% by private bureaus (compared to 32.1% and 59.3%, respectively). (Personal interviews, July 2008, August 2007).</t>
  </si>
  <si>
    <t>A public registry, operated via the SBIF, is only open to banks and financial institutions and generally only covers transactions through such institutions. Cooperatives can only access the public registry via informal means, and must rely on private bureaus.  Information is sometimes incomplete, and in private bureaus only negative information tends to be available.   It typically takes 2-3 working days to receive information. The World Bank's Doing Business (2008) gives Chile a 5.0 out of 6.0 on its Credit Information Index, compared to a regional average of 3.4. Coverage is improving:  The public registry covers 26.2% of adults (compared to 8.1% for the region as a whole) and private bureaus 33.5% (compared to 32.0%). (Personal interviews, August 2008, August 2007; Padilla and Gillet, 2001).</t>
  </si>
</sst>
</file>

<file path=xl/styles.xml><?xml version="1.0" encoding="utf-8"?>
<styleSheet xmlns="http://schemas.openxmlformats.org/spreadsheetml/2006/main">
  <numFmts count="3">
    <numFmt numFmtId="172" formatCode="0.0"/>
    <numFmt numFmtId="173" formatCode="0.0%"/>
    <numFmt numFmtId="178" formatCode="0.0000"/>
  </numFmts>
  <fonts count="64">
    <font>
      <sz val="10"/>
      <name val="Arial"/>
    </font>
    <font>
      <sz val="10"/>
      <name val="Arial"/>
    </font>
    <font>
      <sz val="8"/>
      <name val="Arial"/>
      <family val="2"/>
    </font>
    <font>
      <b/>
      <sz val="10"/>
      <name val="Arial"/>
      <family val="2"/>
    </font>
    <font>
      <sz val="10"/>
      <color indexed="9"/>
      <name val="Arial"/>
      <family val="2"/>
    </font>
    <font>
      <b/>
      <sz val="12"/>
      <color indexed="55"/>
      <name val="Arial"/>
      <family val="2"/>
    </font>
    <font>
      <sz val="10"/>
      <color indexed="8"/>
      <name val="MS Sans Serif"/>
      <family val="2"/>
    </font>
    <font>
      <b/>
      <sz val="14"/>
      <color indexed="56"/>
      <name val="Arial"/>
      <family val="2"/>
    </font>
    <font>
      <b/>
      <sz val="14"/>
      <color indexed="9"/>
      <name val="Arial"/>
      <family val="2"/>
    </font>
    <font>
      <b/>
      <sz val="14"/>
      <name val="Arial"/>
      <family val="2"/>
    </font>
    <font>
      <b/>
      <sz val="8"/>
      <color indexed="9"/>
      <name val="Arial"/>
      <family val="2"/>
    </font>
    <font>
      <sz val="8"/>
      <color indexed="23"/>
      <name val="Verdana"/>
      <family val="2"/>
    </font>
    <font>
      <sz val="8"/>
      <name val="Verdana"/>
      <family val="2"/>
    </font>
    <font>
      <sz val="8"/>
      <color indexed="56"/>
      <name val="Verdana"/>
      <family val="2"/>
    </font>
    <font>
      <sz val="10"/>
      <color indexed="23"/>
      <name val="Verdana"/>
      <family val="2"/>
    </font>
    <font>
      <sz val="10"/>
      <name val="Verdana"/>
      <family val="2"/>
    </font>
    <font>
      <sz val="10"/>
      <color indexed="56"/>
      <name val="Verdana"/>
      <family val="2"/>
    </font>
    <font>
      <sz val="10"/>
      <color indexed="9"/>
      <name val="Verdana"/>
      <family val="2"/>
    </font>
    <font>
      <sz val="10"/>
      <color indexed="61"/>
      <name val="Verdana"/>
      <family val="2"/>
    </font>
    <font>
      <b/>
      <sz val="8"/>
      <color indexed="58"/>
      <name val="Verdana"/>
      <family val="2"/>
    </font>
    <font>
      <b/>
      <sz val="9"/>
      <color indexed="58"/>
      <name val="Verdana"/>
      <family val="2"/>
    </font>
    <font>
      <sz val="9"/>
      <color indexed="59"/>
      <name val="Verdana"/>
      <family val="2"/>
    </font>
    <font>
      <sz val="9"/>
      <name val="Verdana"/>
      <family val="2"/>
    </font>
    <font>
      <sz val="9"/>
      <color indexed="23"/>
      <name val="Verdana"/>
      <family val="2"/>
    </font>
    <font>
      <b/>
      <sz val="8"/>
      <color indexed="59"/>
      <name val="Arial"/>
      <family val="2"/>
    </font>
    <font>
      <b/>
      <sz val="8"/>
      <color indexed="23"/>
      <name val="Arial"/>
      <family val="2"/>
    </font>
    <font>
      <sz val="10"/>
      <name val="Arial Narrow"/>
      <family val="2"/>
    </font>
    <font>
      <sz val="8"/>
      <color indexed="56"/>
      <name val="Arial"/>
      <family val="2"/>
    </font>
    <font>
      <sz val="8"/>
      <color indexed="61"/>
      <name val="Arial"/>
      <family val="2"/>
    </font>
    <font>
      <sz val="10"/>
      <color indexed="10"/>
      <name val="Arial"/>
      <family val="2"/>
    </font>
    <font>
      <sz val="10"/>
      <color indexed="61"/>
      <name val="Arial"/>
      <family val="2"/>
    </font>
    <font>
      <sz val="10"/>
      <color indexed="8"/>
      <name val="Arial"/>
      <family val="2"/>
    </font>
    <font>
      <sz val="10"/>
      <color indexed="56"/>
      <name val="Arial"/>
      <family val="2"/>
    </font>
    <font>
      <sz val="8"/>
      <name val="Arial"/>
      <family val="2"/>
    </font>
    <font>
      <sz val="8"/>
      <name val="Arial Narrow"/>
      <family val="2"/>
    </font>
    <font>
      <sz val="10"/>
      <name val="Arial"/>
      <family val="2"/>
    </font>
    <font>
      <sz val="8"/>
      <color indexed="21"/>
      <name val="Arial"/>
      <family val="2"/>
    </font>
    <font>
      <sz val="12"/>
      <name val="Verdana"/>
      <family val="2"/>
    </font>
    <font>
      <i/>
      <sz val="10"/>
      <name val="Verdana"/>
      <family val="2"/>
    </font>
    <font>
      <sz val="10"/>
      <name val="Arial"/>
      <family val="2"/>
    </font>
    <font>
      <b/>
      <sz val="12"/>
      <name val="Arial"/>
      <family val="2"/>
    </font>
    <font>
      <b/>
      <sz val="9"/>
      <color indexed="9"/>
      <name val="Arial"/>
      <family val="2"/>
    </font>
    <font>
      <b/>
      <sz val="8"/>
      <color indexed="55"/>
      <name val="Arial"/>
      <family val="2"/>
    </font>
    <font>
      <sz val="10"/>
      <color indexed="61"/>
      <name val="Arial"/>
      <family val="2"/>
    </font>
    <font>
      <b/>
      <sz val="10"/>
      <color indexed="9"/>
      <name val="Arial Narrow"/>
      <family val="2"/>
    </font>
    <font>
      <b/>
      <sz val="10"/>
      <color indexed="9"/>
      <name val="Arial"/>
      <family val="2"/>
    </font>
    <font>
      <u/>
      <sz val="10"/>
      <color indexed="61"/>
      <name val="Verdana"/>
      <family val="2"/>
    </font>
    <font>
      <b/>
      <sz val="12"/>
      <color indexed="9"/>
      <name val="Arial"/>
      <family val="2"/>
    </font>
    <font>
      <sz val="8"/>
      <color indexed="21"/>
      <name val="Arial"/>
      <family val="2"/>
    </font>
    <font>
      <sz val="8"/>
      <color indexed="56"/>
      <name val="Arial"/>
      <family val="2"/>
    </font>
    <font>
      <sz val="10"/>
      <color indexed="56"/>
      <name val="Arial"/>
      <family val="2"/>
    </font>
    <font>
      <sz val="10"/>
      <color indexed="16"/>
      <name val="Arial"/>
      <family val="2"/>
    </font>
    <font>
      <b/>
      <sz val="9"/>
      <color indexed="59"/>
      <name val="Verdana"/>
      <family val="2"/>
    </font>
    <font>
      <sz val="9"/>
      <color indexed="56"/>
      <name val="Arial"/>
      <family val="2"/>
    </font>
    <font>
      <sz val="9"/>
      <color indexed="61"/>
      <name val="Verdana"/>
      <family val="2"/>
    </font>
    <font>
      <sz val="9"/>
      <name val="Arial"/>
      <family val="2"/>
    </font>
    <font>
      <sz val="10"/>
      <color indexed="9"/>
      <name val="Arial"/>
      <family val="2"/>
    </font>
    <font>
      <sz val="10"/>
      <color indexed="10"/>
      <name val="Arial"/>
      <family val="2"/>
    </font>
    <font>
      <sz val="8"/>
      <color indexed="9"/>
      <name val="Arial"/>
      <family val="2"/>
    </font>
    <font>
      <sz val="8"/>
      <name val="Arial"/>
      <family val="2"/>
    </font>
    <font>
      <sz val="10"/>
      <color indexed="23"/>
      <name val="Arial"/>
      <family val="2"/>
    </font>
    <font>
      <vertAlign val="superscript"/>
      <sz val="8"/>
      <color indexed="9"/>
      <name val="Arial"/>
      <family val="2"/>
    </font>
    <font>
      <sz val="8"/>
      <name val="Arial"/>
    </font>
    <font>
      <vertAlign val="superscript"/>
      <sz val="8"/>
      <name val="Arial"/>
      <family val="2"/>
    </font>
  </fonts>
  <fills count="11">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44"/>
        <bgColor indexed="64"/>
      </patternFill>
    </fill>
    <fill>
      <patternFill patternType="solid">
        <fgColor indexed="42"/>
        <bgColor indexed="64"/>
      </patternFill>
    </fill>
    <fill>
      <patternFill patternType="solid">
        <fgColor indexed="60"/>
        <bgColor indexed="64"/>
      </patternFill>
    </fill>
    <fill>
      <patternFill patternType="solid">
        <fgColor indexed="46"/>
        <bgColor indexed="64"/>
      </patternFill>
    </fill>
    <fill>
      <patternFill patternType="solid">
        <fgColor indexed="16"/>
        <bgColor indexed="64"/>
      </patternFill>
    </fill>
    <fill>
      <patternFill patternType="solid">
        <fgColor indexed="10"/>
        <bgColor indexed="64"/>
      </patternFill>
    </fill>
    <fill>
      <patternFill patternType="solid">
        <fgColor indexed="9"/>
        <bgColor indexed="64"/>
      </patternFill>
    </fill>
  </fills>
  <borders count="21">
    <border>
      <left/>
      <right/>
      <top/>
      <bottom/>
      <diagonal/>
    </border>
    <border>
      <left/>
      <right/>
      <top/>
      <bottom style="thin">
        <color indexed="9"/>
      </bottom>
      <diagonal/>
    </border>
    <border>
      <left style="thin">
        <color indexed="9"/>
      </left>
      <right style="thin">
        <color indexed="9"/>
      </right>
      <top/>
      <bottom/>
      <diagonal/>
    </border>
    <border>
      <left style="thin">
        <color indexed="16"/>
      </left>
      <right style="thin">
        <color indexed="16"/>
      </right>
      <top style="thin">
        <color indexed="16"/>
      </top>
      <bottom style="thin">
        <color indexed="16"/>
      </bottom>
      <diagonal/>
    </border>
    <border>
      <left/>
      <right/>
      <top/>
      <bottom style="thin">
        <color indexed="16"/>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right style="thin">
        <color indexed="23"/>
      </right>
      <top/>
      <bottom/>
      <diagonal/>
    </border>
    <border>
      <left/>
      <right/>
      <top/>
      <bottom style="thin">
        <color indexed="23"/>
      </bottom>
      <diagonal/>
    </border>
    <border>
      <left/>
      <right style="thin">
        <color indexed="23"/>
      </right>
      <top/>
      <bottom style="thin">
        <color indexed="23"/>
      </bottom>
      <diagonal/>
    </border>
    <border>
      <left style="thin">
        <color indexed="16"/>
      </left>
      <right/>
      <top style="thin">
        <color indexed="16"/>
      </top>
      <bottom/>
      <diagonal/>
    </border>
    <border>
      <left style="thin">
        <color indexed="16"/>
      </left>
      <right/>
      <top/>
      <bottom/>
      <diagonal/>
    </border>
    <border>
      <left style="thin">
        <color indexed="16"/>
      </left>
      <right/>
      <top/>
      <bottom style="thin">
        <color indexed="16"/>
      </bottom>
      <diagonal/>
    </border>
    <border>
      <left/>
      <right style="thin">
        <color indexed="16"/>
      </right>
      <top style="thin">
        <color indexed="16"/>
      </top>
      <bottom/>
      <diagonal/>
    </border>
    <border>
      <left/>
      <right style="thin">
        <color indexed="16"/>
      </right>
      <top/>
      <bottom/>
      <diagonal/>
    </border>
    <border>
      <left/>
      <right style="thin">
        <color indexed="16"/>
      </right>
      <top/>
      <bottom style="thin">
        <color indexed="16"/>
      </bottom>
      <diagonal/>
    </border>
    <border>
      <left style="thin">
        <color indexed="23"/>
      </left>
      <right/>
      <top/>
      <bottom/>
      <diagonal/>
    </border>
    <border>
      <left style="thin">
        <color indexed="23"/>
      </left>
      <right/>
      <top/>
      <bottom style="thin">
        <color indexed="23"/>
      </bottom>
      <diagonal/>
    </border>
    <border>
      <left/>
      <right/>
      <top style="thin">
        <color indexed="9"/>
      </top>
      <bottom style="thin">
        <color indexed="9"/>
      </bottom>
      <diagonal/>
    </border>
    <border>
      <left/>
      <right/>
      <top style="thin">
        <color indexed="16"/>
      </top>
      <bottom/>
      <diagonal/>
    </border>
  </borders>
  <cellStyleXfs count="3">
    <xf numFmtId="0" fontId="0" fillId="0" borderId="0">
      <alignment horizontal="left" wrapText="1"/>
    </xf>
    <xf numFmtId="0" fontId="6" fillId="0" borderId="0"/>
    <xf numFmtId="0" fontId="6" fillId="0" borderId="0"/>
  </cellStyleXfs>
  <cellXfs count="226">
    <xf numFmtId="0" fontId="0" fillId="0" borderId="0" xfId="0" applyAlignment="1"/>
    <xf numFmtId="0" fontId="3" fillId="0" borderId="0" xfId="0" applyFont="1" applyAlignment="1"/>
    <xf numFmtId="2" fontId="0" fillId="0" borderId="0" xfId="0" applyNumberFormat="1" applyAlignment="1"/>
    <xf numFmtId="172" fontId="0" fillId="0" borderId="0" xfId="0" applyNumberFormat="1" applyAlignment="1"/>
    <xf numFmtId="0" fontId="1" fillId="0" borderId="0" xfId="0" applyFont="1" applyAlignment="1"/>
    <xf numFmtId="0" fontId="0" fillId="2" borderId="0" xfId="0" applyFill="1" applyAlignment="1"/>
    <xf numFmtId="0" fontId="4" fillId="2" borderId="0" xfId="0" applyFont="1" applyFill="1" applyAlignment="1"/>
    <xf numFmtId="0" fontId="5" fillId="3" borderId="0" xfId="2" applyFont="1" applyFill="1" applyBorder="1" applyAlignment="1" applyProtection="1">
      <alignment horizontal="left" vertical="center"/>
      <protection locked="0"/>
    </xf>
    <xf numFmtId="0" fontId="7" fillId="3" borderId="0" xfId="2" applyFont="1" applyFill="1" applyBorder="1" applyAlignment="1" applyProtection="1">
      <alignment horizontal="left" vertical="center"/>
      <protection locked="0"/>
    </xf>
    <xf numFmtId="0" fontId="8" fillId="3" borderId="0" xfId="2" quotePrefix="1" applyFont="1" applyFill="1" applyBorder="1" applyAlignment="1" applyProtection="1">
      <alignment horizontal="left"/>
      <protection locked="0"/>
    </xf>
    <xf numFmtId="0" fontId="9" fillId="3" borderId="0" xfId="2" applyFont="1" applyFill="1" applyBorder="1" applyAlignment="1" applyProtection="1">
      <alignment horizontal="left" vertical="center"/>
      <protection locked="0"/>
    </xf>
    <xf numFmtId="0" fontId="10" fillId="3" borderId="0" xfId="2" quotePrefix="1" applyFont="1" applyFill="1" applyBorder="1" applyAlignment="1" applyProtection="1">
      <alignment horizontal="left"/>
      <protection locked="0"/>
    </xf>
    <xf numFmtId="0" fontId="2" fillId="4" borderId="0" xfId="0" applyFont="1" applyFill="1">
      <alignment horizontal="left" wrapText="1"/>
    </xf>
    <xf numFmtId="0" fontId="11" fillId="5" borderId="1" xfId="0" applyFont="1" applyFill="1" applyBorder="1" applyAlignment="1" applyProtection="1">
      <alignment horizontal="right" vertical="center"/>
      <protection locked="0"/>
    </xf>
    <xf numFmtId="0" fontId="15" fillId="5" borderId="1" xfId="0" applyFont="1" applyFill="1" applyBorder="1" applyAlignment="1" applyProtection="1">
      <alignment horizontal="left" vertical="center"/>
      <protection locked="0"/>
    </xf>
    <xf numFmtId="172" fontId="16" fillId="5" borderId="1" xfId="0" applyNumberFormat="1" applyFont="1" applyFill="1" applyBorder="1" applyAlignment="1" applyProtection="1">
      <alignment horizontal="right" vertical="center"/>
      <protection locked="0"/>
    </xf>
    <xf numFmtId="0" fontId="2" fillId="6" borderId="0" xfId="0" applyFont="1" applyFill="1" applyAlignment="1">
      <alignment vertical="top"/>
    </xf>
    <xf numFmtId="0" fontId="0" fillId="6" borderId="0" xfId="0" applyFill="1" applyAlignment="1">
      <alignment wrapText="1"/>
    </xf>
    <xf numFmtId="0" fontId="0" fillId="6" borderId="0" xfId="0" applyFill="1" applyAlignment="1"/>
    <xf numFmtId="0" fontId="17" fillId="4" borderId="0" xfId="0" applyFont="1" applyFill="1" applyAlignment="1">
      <alignment vertical="top"/>
    </xf>
    <xf numFmtId="172" fontId="18" fillId="5" borderId="1" xfId="0" applyNumberFormat="1" applyFont="1" applyFill="1" applyBorder="1" applyAlignment="1" applyProtection="1">
      <alignment horizontal="right" vertical="center"/>
      <protection locked="0"/>
    </xf>
    <xf numFmtId="0" fontId="5" fillId="3" borderId="0" xfId="2" applyFont="1" applyFill="1" applyBorder="1" applyAlignment="1" applyProtection="1">
      <alignment horizontal="left" vertical="center" indent="2"/>
      <protection locked="0"/>
    </xf>
    <xf numFmtId="0" fontId="10" fillId="6" borderId="0" xfId="0" applyFont="1" applyFill="1" applyBorder="1" applyAlignment="1" applyProtection="1">
      <alignment horizontal="right"/>
    </xf>
    <xf numFmtId="0" fontId="19" fillId="6" borderId="0" xfId="0" applyFont="1" applyFill="1" applyBorder="1" applyAlignment="1" applyProtection="1">
      <alignment horizontal="right"/>
    </xf>
    <xf numFmtId="0" fontId="20" fillId="6" borderId="0" xfId="0" applyFont="1" applyFill="1" applyBorder="1" applyAlignment="1" applyProtection="1">
      <alignment horizontal="left" indent="1"/>
    </xf>
    <xf numFmtId="0" fontId="10" fillId="6" borderId="0" xfId="0" quotePrefix="1" applyFont="1" applyFill="1" applyBorder="1" applyAlignment="1" applyProtection="1">
      <alignment horizontal="left"/>
    </xf>
    <xf numFmtId="0" fontId="21" fillId="5" borderId="1" xfId="0" applyFont="1" applyFill="1" applyBorder="1" applyAlignment="1" applyProtection="1">
      <alignment horizontal="left" vertical="center" indent="1"/>
    </xf>
    <xf numFmtId="0" fontId="22" fillId="5" borderId="1" xfId="0" applyFont="1" applyFill="1" applyBorder="1" applyAlignment="1" applyProtection="1">
      <alignment horizontal="right" vertical="center"/>
      <protection locked="0"/>
    </xf>
    <xf numFmtId="0" fontId="21" fillId="5" borderId="1" xfId="0" applyFont="1" applyFill="1" applyBorder="1" applyAlignment="1" applyProtection="1">
      <alignment horizontal="right" vertical="center"/>
    </xf>
    <xf numFmtId="173" fontId="23" fillId="5" borderId="1" xfId="0" applyNumberFormat="1" applyFont="1" applyFill="1" applyBorder="1" applyAlignment="1" applyProtection="1">
      <alignment horizontal="right" vertical="center"/>
    </xf>
    <xf numFmtId="0" fontId="24" fillId="6" borderId="0" xfId="0" quotePrefix="1" applyFont="1" applyFill="1" applyBorder="1" applyAlignment="1" applyProtection="1">
      <alignment horizontal="left"/>
    </xf>
    <xf numFmtId="0" fontId="10" fillId="6" borderId="0" xfId="0" quotePrefix="1" applyFont="1" applyFill="1" applyBorder="1" applyAlignment="1" applyProtection="1">
      <alignment horizontal="left"/>
      <protection locked="0"/>
    </xf>
    <xf numFmtId="0" fontId="25" fillId="6" borderId="0" xfId="0" quotePrefix="1" applyFont="1" applyFill="1" applyBorder="1" applyAlignment="1" applyProtection="1">
      <alignment horizontal="left"/>
    </xf>
    <xf numFmtId="0" fontId="24" fillId="6" borderId="0" xfId="0" applyFont="1" applyFill="1" applyBorder="1" applyAlignment="1" applyProtection="1">
      <alignment horizontal="left"/>
    </xf>
    <xf numFmtId="0" fontId="26" fillId="5" borderId="1" xfId="0" applyFont="1" applyFill="1" applyBorder="1" applyAlignment="1" applyProtection="1">
      <alignment horizontal="left" vertical="center" indent="1"/>
    </xf>
    <xf numFmtId="0" fontId="27" fillId="5" borderId="1" xfId="0" applyFont="1" applyFill="1" applyBorder="1" applyAlignment="1" applyProtection="1">
      <alignment horizontal="left" vertical="center"/>
    </xf>
    <xf numFmtId="0" fontId="28" fillId="5" borderId="1" xfId="0" applyFont="1" applyFill="1" applyBorder="1" applyAlignment="1" applyProtection="1">
      <alignment horizontal="left" vertical="center"/>
    </xf>
    <xf numFmtId="0" fontId="29" fillId="0" borderId="0" xfId="0" applyFont="1" applyAlignment="1"/>
    <xf numFmtId="0" fontId="26" fillId="0" borderId="0" xfId="0" applyFont="1" applyAlignment="1"/>
    <xf numFmtId="0" fontId="31" fillId="7" borderId="2" xfId="0" applyFont="1" applyFill="1" applyBorder="1" applyAlignment="1">
      <alignment horizontal="center" textRotation="60"/>
    </xf>
    <xf numFmtId="0" fontId="31" fillId="0" borderId="2" xfId="0" applyFont="1" applyFill="1" applyBorder="1" applyAlignment="1">
      <alignment horizontal="center" textRotation="60"/>
    </xf>
    <xf numFmtId="0" fontId="32" fillId="0" borderId="0" xfId="0" applyFont="1" applyAlignment="1"/>
    <xf numFmtId="172" fontId="32" fillId="0" borderId="0" xfId="0" applyNumberFormat="1" applyFont="1" applyAlignment="1"/>
    <xf numFmtId="0" fontId="27" fillId="0" borderId="0" xfId="0" applyFont="1" applyFill="1" applyBorder="1" applyAlignment="1" applyProtection="1">
      <alignment horizontal="left" vertical="center"/>
    </xf>
    <xf numFmtId="0" fontId="32" fillId="0" borderId="0" xfId="0" applyFont="1" applyFill="1" applyAlignment="1"/>
    <xf numFmtId="0" fontId="16" fillId="0" borderId="0" xfId="0" applyFont="1" applyAlignment="1"/>
    <xf numFmtId="172" fontId="16" fillId="0" borderId="0" xfId="0" applyNumberFormat="1" applyFont="1" applyAlignment="1"/>
    <xf numFmtId="0" fontId="18" fillId="0" borderId="0" xfId="0" applyFont="1" applyAlignment="1"/>
    <xf numFmtId="0" fontId="13" fillId="0" borderId="0" xfId="0" applyFont="1" applyFill="1" applyBorder="1" applyAlignment="1" applyProtection="1">
      <alignment horizontal="left" vertical="center"/>
    </xf>
    <xf numFmtId="172" fontId="18" fillId="0" borderId="0" xfId="0" applyNumberFormat="1" applyFont="1" applyAlignment="1"/>
    <xf numFmtId="0" fontId="27" fillId="0" borderId="1" xfId="0" applyFont="1" applyFill="1" applyBorder="1" applyAlignment="1" applyProtection="1">
      <alignment horizontal="left" vertical="center"/>
    </xf>
    <xf numFmtId="0" fontId="27" fillId="0" borderId="3" xfId="0" applyFont="1" applyFill="1" applyBorder="1" applyAlignment="1" applyProtection="1">
      <alignment horizontal="left" vertical="center"/>
    </xf>
    <xf numFmtId="0" fontId="0" fillId="0" borderId="0" xfId="0" applyAlignment="1">
      <alignment vertical="center"/>
    </xf>
    <xf numFmtId="0" fontId="18" fillId="8" borderId="0" xfId="0" applyFont="1" applyFill="1" applyAlignment="1">
      <alignment vertical="center"/>
    </xf>
    <xf numFmtId="0" fontId="16" fillId="8" borderId="0" xfId="0" applyFont="1" applyFill="1" applyAlignment="1">
      <alignment vertical="center"/>
    </xf>
    <xf numFmtId="0" fontId="1" fillId="0" borderId="0" xfId="0" applyFont="1" applyAlignment="1">
      <alignment vertical="center"/>
    </xf>
    <xf numFmtId="0" fontId="35" fillId="0" borderId="0" xfId="0" applyFont="1" applyAlignment="1">
      <alignment vertical="center"/>
    </xf>
    <xf numFmtId="0" fontId="18" fillId="0" borderId="0" xfId="0" applyFont="1" applyFill="1" applyAlignment="1">
      <alignment vertical="center"/>
    </xf>
    <xf numFmtId="173" fontId="18" fillId="0" borderId="0" xfId="0" applyNumberFormat="1" applyFont="1" applyFill="1" applyAlignment="1">
      <alignment vertical="center"/>
    </xf>
    <xf numFmtId="172" fontId="18" fillId="0" borderId="0" xfId="0" applyNumberFormat="1" applyFont="1" applyFill="1" applyAlignment="1">
      <alignment vertical="center"/>
    </xf>
    <xf numFmtId="0" fontId="26" fillId="0" borderId="4" xfId="0" applyFont="1" applyBorder="1" applyAlignment="1">
      <alignment horizontal="left" indent="1"/>
    </xf>
    <xf numFmtId="0" fontId="27" fillId="0" borderId="4" xfId="0" applyFont="1" applyFill="1" applyBorder="1" applyAlignment="1" applyProtection="1">
      <alignment horizontal="left" vertical="center"/>
    </xf>
    <xf numFmtId="173" fontId="34" fillId="0" borderId="4" xfId="0" applyNumberFormat="1" applyFont="1" applyBorder="1" applyAlignment="1"/>
    <xf numFmtId="172" fontId="26" fillId="0" borderId="4" xfId="0" applyNumberFormat="1" applyFont="1" applyBorder="1" applyAlignment="1"/>
    <xf numFmtId="172" fontId="18" fillId="7" borderId="0" xfId="0" applyNumberFormat="1" applyFont="1" applyFill="1" applyAlignment="1">
      <alignment vertical="center"/>
    </xf>
    <xf numFmtId="172" fontId="26" fillId="7" borderId="4" xfId="0" applyNumberFormat="1" applyFont="1" applyFill="1" applyBorder="1" applyAlignment="1"/>
    <xf numFmtId="172" fontId="18" fillId="7" borderId="0" xfId="0" applyNumberFormat="1" applyFont="1" applyFill="1" applyAlignment="1"/>
    <xf numFmtId="0" fontId="28" fillId="0" borderId="3" xfId="0" applyFont="1" applyFill="1" applyBorder="1" applyAlignment="1" applyProtection="1">
      <alignment horizontal="left" vertical="center"/>
    </xf>
    <xf numFmtId="172" fontId="18" fillId="7" borderId="0" xfId="0" applyNumberFormat="1" applyFont="1" applyFill="1" applyBorder="1" applyAlignment="1"/>
    <xf numFmtId="0" fontId="1" fillId="0" borderId="0" xfId="0" applyFont="1" applyFill="1" applyAlignment="1">
      <alignment vertical="center"/>
    </xf>
    <xf numFmtId="0" fontId="16" fillId="0" borderId="0" xfId="0" applyFont="1" applyFill="1" applyAlignment="1">
      <alignment vertical="center"/>
    </xf>
    <xf numFmtId="172" fontId="16" fillId="0" borderId="0" xfId="0" applyNumberFormat="1" applyFont="1" applyFill="1" applyAlignment="1">
      <alignment vertical="center"/>
    </xf>
    <xf numFmtId="0" fontId="35" fillId="0" borderId="0" xfId="0" applyFont="1" applyFill="1" applyAlignment="1">
      <alignment vertical="center"/>
    </xf>
    <xf numFmtId="172" fontId="16" fillId="7" borderId="0" xfId="0" applyNumberFormat="1" applyFont="1" applyFill="1" applyAlignment="1">
      <alignment vertical="center"/>
    </xf>
    <xf numFmtId="0" fontId="11" fillId="3" borderId="1" xfId="2" applyFont="1" applyFill="1" applyBorder="1" applyAlignment="1" applyProtection="1">
      <alignment horizontal="right" vertical="center"/>
      <protection locked="0"/>
    </xf>
    <xf numFmtId="172" fontId="12" fillId="3" borderId="1" xfId="2" applyNumberFormat="1" applyFont="1" applyFill="1" applyBorder="1" applyAlignment="1" applyProtection="1">
      <alignment horizontal="right" vertical="center"/>
      <protection locked="0"/>
    </xf>
    <xf numFmtId="172" fontId="36" fillId="3" borderId="1" xfId="0" applyNumberFormat="1" applyFont="1" applyFill="1" applyBorder="1" applyAlignment="1" applyProtection="1">
      <alignment vertical="justify"/>
      <protection locked="0"/>
    </xf>
    <xf numFmtId="0" fontId="11" fillId="0" borderId="1" xfId="2" applyFont="1" applyFill="1" applyBorder="1" applyAlignment="1" applyProtection="1">
      <alignment horizontal="right" vertical="center"/>
      <protection locked="0"/>
    </xf>
    <xf numFmtId="172" fontId="12" fillId="0" borderId="1" xfId="2" applyNumberFormat="1" applyFont="1" applyFill="1" applyBorder="1" applyAlignment="1" applyProtection="1">
      <alignment horizontal="right" vertical="center"/>
      <protection locked="0"/>
    </xf>
    <xf numFmtId="0" fontId="0" fillId="0" borderId="0" xfId="0" quotePrefix="1" applyAlignment="1"/>
    <xf numFmtId="0" fontId="37" fillId="0" borderId="0" xfId="0" applyFont="1" applyAlignment="1"/>
    <xf numFmtId="0" fontId="38" fillId="0" borderId="0" xfId="0" applyFont="1" applyAlignment="1"/>
    <xf numFmtId="0" fontId="0" fillId="3" borderId="0" xfId="0" applyFill="1" applyAlignment="1"/>
    <xf numFmtId="0" fontId="3" fillId="3" borderId="0" xfId="0" applyFont="1" applyFill="1" applyAlignment="1"/>
    <xf numFmtId="0" fontId="2" fillId="0" borderId="0" xfId="0" applyFont="1" applyBorder="1" applyAlignment="1">
      <alignment vertical="center" wrapText="1"/>
    </xf>
    <xf numFmtId="0" fontId="38" fillId="0" borderId="0" xfId="0" applyFont="1" applyBorder="1" applyAlignment="1"/>
    <xf numFmtId="0" fontId="0" fillId="0" borderId="0" xfId="0" applyBorder="1" applyAlignment="1"/>
    <xf numFmtId="0" fontId="1" fillId="0" borderId="0" xfId="2" applyFont="1"/>
    <xf numFmtId="0" fontId="1" fillId="9" borderId="0" xfId="2" applyFont="1" applyFill="1"/>
    <xf numFmtId="0" fontId="39" fillId="10" borderId="0" xfId="2" applyFont="1" applyFill="1"/>
    <xf numFmtId="0" fontId="1" fillId="0" borderId="0" xfId="2" applyFont="1" applyFill="1"/>
    <xf numFmtId="0" fontId="6" fillId="10" borderId="0" xfId="2" applyFill="1"/>
    <xf numFmtId="0" fontId="42" fillId="3" borderId="0" xfId="2" applyFont="1" applyFill="1" applyBorder="1" applyAlignment="1" applyProtection="1">
      <alignment horizontal="left" vertical="center"/>
      <protection locked="0"/>
    </xf>
    <xf numFmtId="0" fontId="33" fillId="0" borderId="0" xfId="0" applyFont="1" applyAlignment="1"/>
    <xf numFmtId="0" fontId="0" fillId="4" borderId="0" xfId="0" applyFill="1" applyAlignment="1"/>
    <xf numFmtId="0" fontId="0" fillId="0" borderId="0" xfId="0" applyFill="1" applyAlignment="1"/>
    <xf numFmtId="172" fontId="0" fillId="0" borderId="0" xfId="0" applyNumberFormat="1" applyFill="1" applyAlignment="1">
      <alignment vertical="center"/>
    </xf>
    <xf numFmtId="0" fontId="0" fillId="0" borderId="0" xfId="0" applyFill="1" applyAlignment="1">
      <alignment vertical="center"/>
    </xf>
    <xf numFmtId="0" fontId="33" fillId="0" borderId="0" xfId="0" applyFont="1" applyFill="1" applyAlignment="1">
      <alignment vertical="center" wrapText="1"/>
    </xf>
    <xf numFmtId="0" fontId="0" fillId="0" borderId="0" xfId="0" applyFill="1" applyBorder="1" applyAlignment="1">
      <alignment vertical="center"/>
    </xf>
    <xf numFmtId="0" fontId="0" fillId="3" borderId="0" xfId="0" applyFill="1" applyBorder="1" applyAlignment="1">
      <alignment vertical="center"/>
    </xf>
    <xf numFmtId="172" fontId="43" fillId="0" borderId="0" xfId="0" applyNumberFormat="1" applyFont="1" applyFill="1" applyBorder="1" applyAlignment="1">
      <alignment vertical="center"/>
    </xf>
    <xf numFmtId="172" fontId="43" fillId="3" borderId="0" xfId="0" applyNumberFormat="1" applyFont="1" applyFill="1" applyBorder="1" applyAlignment="1">
      <alignment vertical="center"/>
    </xf>
    <xf numFmtId="0" fontId="46" fillId="0" borderId="0" xfId="0" applyFont="1" applyAlignment="1"/>
    <xf numFmtId="0" fontId="27" fillId="0" borderId="0" xfId="0" applyFont="1" applyAlignment="1"/>
    <xf numFmtId="0" fontId="28" fillId="0" borderId="0" xfId="0" applyFont="1" applyAlignment="1"/>
    <xf numFmtId="0" fontId="4" fillId="0" borderId="0" xfId="0" applyFont="1" applyAlignment="1"/>
    <xf numFmtId="172" fontId="36" fillId="0" borderId="1" xfId="0" applyNumberFormat="1" applyFont="1" applyFill="1" applyBorder="1" applyAlignment="1" applyProtection="1">
      <alignment vertical="justify"/>
      <protection locked="0"/>
    </xf>
    <xf numFmtId="172" fontId="30" fillId="0" borderId="0" xfId="0" applyNumberFormat="1" applyFont="1" applyFill="1" applyBorder="1" applyAlignment="1">
      <alignment vertical="center"/>
    </xf>
    <xf numFmtId="172" fontId="30" fillId="3" borderId="0" xfId="0" applyNumberFormat="1" applyFont="1" applyFill="1" applyBorder="1" applyAlignment="1">
      <alignment vertical="center"/>
    </xf>
    <xf numFmtId="0" fontId="1" fillId="6" borderId="0" xfId="0" applyFont="1" applyFill="1" applyAlignment="1">
      <alignment vertical="top"/>
    </xf>
    <xf numFmtId="0" fontId="47" fillId="4" borderId="0" xfId="0" applyFont="1" applyFill="1" applyAlignment="1">
      <alignment vertical="top"/>
    </xf>
    <xf numFmtId="0" fontId="2" fillId="0" borderId="0" xfId="0" applyFont="1" applyAlignment="1"/>
    <xf numFmtId="0" fontId="44" fillId="6" borderId="5" xfId="0" applyFont="1" applyFill="1" applyBorder="1" applyAlignment="1">
      <alignment horizontal="left" vertical="center" wrapText="1" indent="1"/>
    </xf>
    <xf numFmtId="172" fontId="45" fillId="6" borderId="6" xfId="0" applyNumberFormat="1" applyFont="1" applyFill="1" applyBorder="1" applyAlignment="1">
      <alignment vertical="center"/>
    </xf>
    <xf numFmtId="0" fontId="35" fillId="6" borderId="6" xfId="0" applyFont="1" applyFill="1" applyBorder="1" applyAlignment="1"/>
    <xf numFmtId="0" fontId="33" fillId="6" borderId="7" xfId="0" applyFont="1" applyFill="1" applyBorder="1" applyAlignment="1"/>
    <xf numFmtId="0" fontId="33" fillId="0" borderId="8" xfId="0" applyFont="1" applyFill="1" applyBorder="1" applyAlignment="1">
      <alignment vertical="center" wrapText="1"/>
    </xf>
    <xf numFmtId="0" fontId="33" fillId="3" borderId="8" xfId="0" applyFont="1" applyFill="1" applyBorder="1" applyAlignment="1">
      <alignment vertical="center" wrapText="1"/>
    </xf>
    <xf numFmtId="172" fontId="43" fillId="3" borderId="9" xfId="0" applyNumberFormat="1" applyFont="1" applyFill="1" applyBorder="1" applyAlignment="1">
      <alignment vertical="center"/>
    </xf>
    <xf numFmtId="0" fontId="0" fillId="3" borderId="9" xfId="0" applyFill="1" applyBorder="1" applyAlignment="1">
      <alignment vertical="center"/>
    </xf>
    <xf numFmtId="0" fontId="33" fillId="3" borderId="10" xfId="0" applyFont="1" applyFill="1" applyBorder="1" applyAlignment="1">
      <alignment vertical="center" wrapText="1"/>
    </xf>
    <xf numFmtId="172" fontId="30" fillId="3" borderId="9" xfId="0" applyNumberFormat="1" applyFont="1" applyFill="1" applyBorder="1" applyAlignment="1">
      <alignment vertical="center"/>
    </xf>
    <xf numFmtId="172" fontId="43" fillId="0" borderId="9" xfId="0" applyNumberFormat="1" applyFont="1" applyFill="1" applyBorder="1" applyAlignment="1">
      <alignment vertical="center"/>
    </xf>
    <xf numFmtId="0" fontId="0" fillId="0" borderId="9" xfId="0" applyFill="1" applyBorder="1" applyAlignment="1">
      <alignment vertical="center"/>
    </xf>
    <xf numFmtId="0" fontId="33" fillId="0" borderId="10" xfId="0" applyFont="1" applyFill="1" applyBorder="1" applyAlignment="1">
      <alignment vertical="center" wrapText="1"/>
    </xf>
    <xf numFmtId="0" fontId="4" fillId="4" borderId="0" xfId="0" applyFont="1" applyFill="1" applyAlignment="1">
      <alignment vertical="top"/>
    </xf>
    <xf numFmtId="172" fontId="0" fillId="3" borderId="0" xfId="0" applyNumberFormat="1" applyFill="1" applyAlignment="1"/>
    <xf numFmtId="0" fontId="15" fillId="5" borderId="1" xfId="0" applyFont="1" applyFill="1" applyBorder="1" applyAlignment="1">
      <alignment vertical="center"/>
    </xf>
    <xf numFmtId="0" fontId="48" fillId="5" borderId="1" xfId="0" applyFont="1" applyFill="1" applyBorder="1" applyAlignment="1">
      <alignment vertical="center"/>
    </xf>
    <xf numFmtId="0" fontId="11" fillId="5" borderId="1" xfId="0" applyFont="1" applyFill="1" applyBorder="1" applyAlignment="1">
      <alignment vertical="center"/>
    </xf>
    <xf numFmtId="0" fontId="49" fillId="5" borderId="1" xfId="0" applyFont="1" applyFill="1" applyBorder="1" applyAlignment="1">
      <alignment vertical="center"/>
    </xf>
    <xf numFmtId="172" fontId="16" fillId="5" borderId="1" xfId="0" applyNumberFormat="1" applyFont="1" applyFill="1" applyBorder="1" applyAlignment="1">
      <alignment vertical="center"/>
    </xf>
    <xf numFmtId="0" fontId="13" fillId="0" borderId="0" xfId="0" applyFont="1" applyAlignment="1"/>
    <xf numFmtId="0" fontId="0" fillId="0" borderId="0" xfId="0" applyAlignment="1">
      <alignment vertical="top" wrapText="1"/>
    </xf>
    <xf numFmtId="0" fontId="0" fillId="0" borderId="0" xfId="0" applyAlignment="1">
      <alignment wrapText="1"/>
    </xf>
    <xf numFmtId="0" fontId="2" fillId="0" borderId="0" xfId="0" applyFont="1" applyBorder="1" applyAlignment="1">
      <alignment vertical="top" wrapText="1"/>
    </xf>
    <xf numFmtId="0" fontId="0" fillId="8" borderId="0" xfId="0" applyFill="1" applyAlignment="1"/>
    <xf numFmtId="0" fontId="0" fillId="0" borderId="11" xfId="0" applyFill="1" applyBorder="1" applyAlignment="1"/>
    <xf numFmtId="0" fontId="0" fillId="0" borderId="12" xfId="0" applyFill="1" applyBorder="1" applyAlignment="1"/>
    <xf numFmtId="0" fontId="0" fillId="3" borderId="12" xfId="0" applyFill="1" applyBorder="1" applyAlignment="1"/>
    <xf numFmtId="0" fontId="0" fillId="3" borderId="13" xfId="0" applyFill="1" applyBorder="1" applyAlignment="1"/>
    <xf numFmtId="0" fontId="4" fillId="0" borderId="0" xfId="0" applyFont="1" applyFill="1" applyAlignment="1"/>
    <xf numFmtId="172" fontId="18" fillId="5" borderId="1" xfId="0" applyNumberFormat="1" applyFont="1" applyFill="1" applyBorder="1" applyAlignment="1">
      <alignment vertical="center"/>
    </xf>
    <xf numFmtId="0" fontId="51" fillId="8" borderId="0" xfId="0" applyFont="1" applyFill="1" applyAlignment="1"/>
    <xf numFmtId="0" fontId="0" fillId="0" borderId="14" xfId="0" applyBorder="1" applyAlignment="1"/>
    <xf numFmtId="0" fontId="0" fillId="0" borderId="15" xfId="0" applyBorder="1" applyAlignment="1"/>
    <xf numFmtId="0" fontId="2" fillId="0" borderId="15" xfId="0" applyFont="1" applyBorder="1" applyAlignment="1">
      <alignment vertical="center" wrapText="1"/>
    </xf>
    <xf numFmtId="0" fontId="0" fillId="3" borderId="15" xfId="0" applyFill="1" applyBorder="1" applyAlignment="1"/>
    <xf numFmtId="0" fontId="0" fillId="3" borderId="16" xfId="0" applyFill="1" applyBorder="1" applyAlignment="1"/>
    <xf numFmtId="0" fontId="14" fillId="0" borderId="0" xfId="0" applyFont="1" applyAlignment="1" applyProtection="1"/>
    <xf numFmtId="0" fontId="0" fillId="0" borderId="0" xfId="0" applyAlignment="1" applyProtection="1"/>
    <xf numFmtId="2" fontId="14" fillId="0" borderId="1" xfId="0" applyNumberFormat="1" applyFont="1" applyFill="1" applyBorder="1" applyAlignment="1" applyProtection="1">
      <alignment horizontal="right" vertical="center"/>
    </xf>
    <xf numFmtId="0" fontId="14" fillId="5" borderId="1" xfId="0" applyFont="1" applyFill="1" applyBorder="1" applyAlignment="1" applyProtection="1">
      <alignment horizontal="right" vertical="center"/>
    </xf>
    <xf numFmtId="3" fontId="15" fillId="5" borderId="1" xfId="0" applyNumberFormat="1" applyFont="1" applyFill="1" applyBorder="1" applyAlignment="1" applyProtection="1">
      <alignment horizontal="right" vertical="center"/>
    </xf>
    <xf numFmtId="172" fontId="18" fillId="5" borderId="1" xfId="0" applyNumberFormat="1" applyFont="1" applyFill="1" applyBorder="1" applyAlignment="1" applyProtection="1">
      <alignment horizontal="right" vertical="center"/>
    </xf>
    <xf numFmtId="0" fontId="39" fillId="3" borderId="0" xfId="0" applyFont="1" applyFill="1" applyAlignment="1"/>
    <xf numFmtId="0" fontId="39" fillId="0" borderId="0" xfId="0" applyFont="1" applyAlignment="1"/>
    <xf numFmtId="0" fontId="32" fillId="0" borderId="0" xfId="0" applyFont="1" applyFill="1" applyAlignment="1">
      <alignment vertical="top"/>
    </xf>
    <xf numFmtId="0" fontId="50" fillId="0" borderId="0" xfId="0" applyFont="1" applyFill="1" applyAlignment="1">
      <alignment vertical="top"/>
    </xf>
    <xf numFmtId="0" fontId="32" fillId="0" borderId="0" xfId="0" applyFont="1" applyFill="1" applyAlignment="1">
      <alignment horizontal="right" vertical="top"/>
    </xf>
    <xf numFmtId="0" fontId="39" fillId="0" borderId="17" xfId="0" applyFont="1" applyFill="1" applyBorder="1" applyAlignment="1">
      <alignment horizontal="left" vertical="center" wrapText="1" indent="1"/>
    </xf>
    <xf numFmtId="0" fontId="39" fillId="3" borderId="17" xfId="0" applyFont="1" applyFill="1" applyBorder="1" applyAlignment="1">
      <alignment horizontal="left" vertical="center" wrapText="1" indent="1"/>
    </xf>
    <xf numFmtId="0" fontId="39" fillId="3" borderId="18" xfId="0" applyFont="1" applyFill="1" applyBorder="1" applyAlignment="1">
      <alignment horizontal="left" vertical="center" wrapText="1" indent="1"/>
    </xf>
    <xf numFmtId="0" fontId="39" fillId="0" borderId="0" xfId="0" applyFont="1" applyFill="1" applyAlignment="1">
      <alignment horizontal="left" vertical="center" wrapText="1" indent="1"/>
    </xf>
    <xf numFmtId="0" fontId="45" fillId="6" borderId="5" xfId="0" applyFont="1" applyFill="1" applyBorder="1" applyAlignment="1">
      <alignment horizontal="left" vertical="center" wrapText="1" indent="1"/>
    </xf>
    <xf numFmtId="0" fontId="39" fillId="0" borderId="18" xfId="0" applyFont="1" applyFill="1" applyBorder="1" applyAlignment="1">
      <alignment horizontal="left" vertical="center" wrapText="1" indent="1"/>
    </xf>
    <xf numFmtId="0" fontId="52" fillId="6" borderId="0" xfId="0" quotePrefix="1" applyFont="1" applyFill="1" applyBorder="1" applyAlignment="1" applyProtection="1">
      <alignment horizontal="left"/>
    </xf>
    <xf numFmtId="0" fontId="22" fillId="5" borderId="1" xfId="0" applyFont="1" applyFill="1" applyBorder="1" applyAlignment="1" applyProtection="1">
      <alignment horizontal="left" vertical="center" indent="1"/>
    </xf>
    <xf numFmtId="0" fontId="52" fillId="6" borderId="0" xfId="0" applyFont="1" applyFill="1" applyBorder="1" applyAlignment="1" applyProtection="1">
      <alignment horizontal="left"/>
    </xf>
    <xf numFmtId="0" fontId="22" fillId="3" borderId="1" xfId="2" applyFont="1" applyFill="1" applyBorder="1" applyAlignment="1" applyProtection="1">
      <alignment horizontal="right" vertical="center"/>
      <protection locked="0"/>
    </xf>
    <xf numFmtId="0" fontId="22" fillId="0" borderId="1" xfId="2" applyFont="1" applyFill="1" applyBorder="1" applyAlignment="1" applyProtection="1">
      <alignment horizontal="right" vertical="center"/>
      <protection locked="0"/>
    </xf>
    <xf numFmtId="0" fontId="53" fillId="0" borderId="0" xfId="0" applyFont="1" applyFill="1" applyBorder="1" applyAlignment="1">
      <alignment horizontal="right"/>
    </xf>
    <xf numFmtId="172" fontId="22" fillId="3" borderId="1" xfId="2" applyNumberFormat="1" applyFont="1" applyFill="1" applyBorder="1" applyAlignment="1" applyProtection="1">
      <alignment horizontal="right" vertical="center"/>
      <protection locked="0"/>
    </xf>
    <xf numFmtId="172" fontId="22" fillId="0" borderId="1" xfId="2" applyNumberFormat="1" applyFont="1" applyFill="1" applyBorder="1" applyAlignment="1" applyProtection="1">
      <alignment horizontal="right" vertical="center"/>
      <protection locked="0"/>
    </xf>
    <xf numFmtId="0" fontId="22" fillId="0" borderId="0" xfId="0" applyFont="1" applyAlignment="1">
      <alignment horizontal="left" indent="1"/>
    </xf>
    <xf numFmtId="172" fontId="22" fillId="7" borderId="0" xfId="0" applyNumberFormat="1" applyFont="1" applyFill="1" applyAlignment="1"/>
    <xf numFmtId="172" fontId="22" fillId="0" borderId="0" xfId="0" applyNumberFormat="1" applyFont="1" applyAlignment="1"/>
    <xf numFmtId="173" fontId="22" fillId="0" borderId="0" xfId="0" applyNumberFormat="1" applyFont="1" applyAlignment="1"/>
    <xf numFmtId="0" fontId="22" fillId="0" borderId="0" xfId="0" applyFont="1" applyFill="1" applyBorder="1" applyAlignment="1" applyProtection="1">
      <alignment horizontal="left" vertical="center"/>
    </xf>
    <xf numFmtId="173" fontId="54" fillId="0" borderId="0" xfId="0" applyNumberFormat="1" applyFont="1" applyAlignment="1"/>
    <xf numFmtId="10" fontId="0" fillId="0" borderId="0" xfId="0" quotePrefix="1" applyNumberFormat="1" applyAlignment="1"/>
    <xf numFmtId="173" fontId="16" fillId="5" borderId="1" xfId="0" applyNumberFormat="1" applyFont="1" applyFill="1" applyBorder="1" applyAlignment="1" applyProtection="1">
      <alignment horizontal="right" vertical="center"/>
    </xf>
    <xf numFmtId="172" fontId="57" fillId="0" borderId="0" xfId="0" applyNumberFormat="1" applyFont="1" applyAlignment="1"/>
    <xf numFmtId="0" fontId="56" fillId="2" borderId="0" xfId="0" applyFont="1" applyFill="1" applyAlignment="1"/>
    <xf numFmtId="0" fontId="5" fillId="3" borderId="0" xfId="2" applyFont="1" applyFill="1" applyBorder="1" applyAlignment="1" applyProtection="1">
      <alignment horizontal="right" vertical="center"/>
      <protection locked="0"/>
    </xf>
    <xf numFmtId="0" fontId="0" fillId="0" borderId="0" xfId="0" applyAlignment="1">
      <alignment horizontal="right"/>
    </xf>
    <xf numFmtId="172" fontId="44" fillId="6" borderId="6" xfId="0" applyNumberFormat="1" applyFont="1" applyFill="1" applyBorder="1" applyAlignment="1">
      <alignment horizontal="left" vertical="center" wrapText="1" indent="1"/>
    </xf>
    <xf numFmtId="0" fontId="35" fillId="0" borderId="0" xfId="0" applyFont="1" applyAlignment="1" applyProtection="1">
      <alignment horizontal="right"/>
    </xf>
    <xf numFmtId="0" fontId="35" fillId="0" borderId="0" xfId="0" applyFont="1" applyAlignment="1"/>
    <xf numFmtId="0" fontId="14" fillId="5" borderId="1" xfId="0" applyFont="1" applyFill="1" applyBorder="1" applyAlignment="1" applyProtection="1">
      <alignment horizontal="right" vertical="center"/>
      <protection locked="0"/>
    </xf>
    <xf numFmtId="0" fontId="58" fillId="4" borderId="0" xfId="0" applyFont="1" applyFill="1" applyAlignment="1">
      <alignment horizontal="right" wrapText="1"/>
    </xf>
    <xf numFmtId="1" fontId="16" fillId="0" borderId="0" xfId="0" applyNumberFormat="1" applyFont="1" applyAlignment="1"/>
    <xf numFmtId="0" fontId="3" fillId="0" borderId="0" xfId="0" applyFont="1" applyAlignment="1">
      <alignment horizontal="right"/>
    </xf>
    <xf numFmtId="172" fontId="0" fillId="0" borderId="0" xfId="0" applyNumberFormat="1" applyFill="1" applyAlignment="1">
      <alignment horizontal="right" vertical="center"/>
    </xf>
    <xf numFmtId="172" fontId="60" fillId="0" borderId="0" xfId="0" applyNumberFormat="1" applyFont="1" applyFill="1" applyBorder="1" applyAlignment="1">
      <alignment horizontal="right" vertical="center"/>
    </xf>
    <xf numFmtId="172" fontId="60" fillId="3" borderId="0" xfId="0" applyNumberFormat="1" applyFont="1" applyFill="1" applyBorder="1" applyAlignment="1">
      <alignment horizontal="right" vertical="center"/>
    </xf>
    <xf numFmtId="172" fontId="60" fillId="3" borderId="9" xfId="0" applyNumberFormat="1" applyFont="1" applyFill="1" applyBorder="1" applyAlignment="1">
      <alignment horizontal="right" vertical="center"/>
    </xf>
    <xf numFmtId="172" fontId="60" fillId="0" borderId="9" xfId="0" applyNumberFormat="1" applyFont="1" applyFill="1" applyBorder="1" applyAlignment="1">
      <alignment horizontal="right" vertical="center"/>
    </xf>
    <xf numFmtId="172" fontId="45" fillId="6" borderId="6" xfId="0" applyNumberFormat="1" applyFont="1" applyFill="1" applyBorder="1" applyAlignment="1">
      <alignment horizontal="left" vertical="center" wrapText="1" indent="1"/>
    </xf>
    <xf numFmtId="172" fontId="14" fillId="0" borderId="0" xfId="0" applyNumberFormat="1" applyFont="1" applyFill="1" applyBorder="1" applyAlignment="1">
      <alignment horizontal="right" vertical="center"/>
    </xf>
    <xf numFmtId="172" fontId="45" fillId="6" borderId="6" xfId="0" applyNumberFormat="1" applyFont="1" applyFill="1" applyBorder="1" applyAlignment="1">
      <alignment horizontal="right" vertical="center"/>
    </xf>
    <xf numFmtId="10" fontId="16" fillId="5" borderId="1" xfId="0" applyNumberFormat="1" applyFont="1" applyFill="1" applyBorder="1" applyAlignment="1" applyProtection="1">
      <alignment horizontal="right" vertical="center"/>
    </xf>
    <xf numFmtId="178" fontId="0" fillId="0" borderId="0" xfId="0" applyNumberFormat="1" applyAlignment="1"/>
    <xf numFmtId="172" fontId="11" fillId="3" borderId="0" xfId="2" applyNumberFormat="1" applyFont="1" applyFill="1" applyBorder="1" applyAlignment="1" applyProtection="1">
      <alignment horizontal="right" vertical="center"/>
      <protection locked="0"/>
    </xf>
    <xf numFmtId="172" fontId="11" fillId="10" borderId="19" xfId="2" applyNumberFormat="1" applyFont="1" applyFill="1" applyBorder="1" applyAlignment="1" applyProtection="1">
      <alignment horizontal="right" vertical="center"/>
      <protection locked="0"/>
    </xf>
    <xf numFmtId="1" fontId="0" fillId="0" borderId="0" xfId="0" applyNumberFormat="1" applyAlignment="1"/>
    <xf numFmtId="1" fontId="11" fillId="3" borderId="1" xfId="2" applyNumberFormat="1" applyFont="1" applyFill="1" applyBorder="1" applyAlignment="1" applyProtection="1">
      <alignment horizontal="right" vertical="center"/>
      <protection locked="0"/>
    </xf>
    <xf numFmtId="0" fontId="58" fillId="4" borderId="0" xfId="0" applyFont="1" applyFill="1" applyAlignment="1">
      <alignment vertical="top"/>
    </xf>
    <xf numFmtId="0" fontId="62" fillId="6" borderId="0" xfId="0" applyFont="1" applyFill="1" applyAlignment="1"/>
    <xf numFmtId="0" fontId="62" fillId="6" borderId="0" xfId="0" applyFont="1" applyFill="1" applyAlignment="1">
      <alignment wrapText="1"/>
    </xf>
    <xf numFmtId="0" fontId="62" fillId="0" borderId="0" xfId="0" applyFont="1" applyAlignment="1">
      <alignment wrapText="1"/>
    </xf>
    <xf numFmtId="0" fontId="14" fillId="10" borderId="1" xfId="0" applyFont="1" applyFill="1" applyBorder="1" applyAlignment="1" applyProtection="1">
      <alignment horizontal="right" vertical="center"/>
      <protection locked="0"/>
    </xf>
    <xf numFmtId="0" fontId="14" fillId="5" borderId="1" xfId="0" applyFont="1" applyFill="1" applyBorder="1" applyAlignment="1" applyProtection="1">
      <alignment horizontal="right" vertical="center"/>
      <protection locked="0"/>
    </xf>
    <xf numFmtId="0" fontId="0" fillId="10" borderId="0" xfId="0" applyFill="1" applyAlignment="1"/>
    <xf numFmtId="0" fontId="40" fillId="0" borderId="0" xfId="2" applyFont="1" applyFill="1" applyBorder="1" applyAlignment="1" applyProtection="1">
      <alignment horizontal="left" vertical="center"/>
      <protection locked="0"/>
    </xf>
    <xf numFmtId="0" fontId="40" fillId="0" borderId="0" xfId="2" applyFont="1" applyFill="1" applyBorder="1" applyAlignment="1" applyProtection="1">
      <alignment horizontal="center" vertical="center"/>
      <protection locked="0"/>
    </xf>
    <xf numFmtId="0" fontId="41" fillId="0" borderId="0" xfId="2" applyFont="1" applyFill="1" applyBorder="1" applyAlignment="1" applyProtection="1">
      <alignment horizontal="center" vertical="center"/>
      <protection locked="0"/>
    </xf>
    <xf numFmtId="0" fontId="2" fillId="3" borderId="0" xfId="0" applyFont="1" applyFill="1" applyBorder="1" applyAlignment="1">
      <alignment vertical="center" wrapText="1"/>
    </xf>
    <xf numFmtId="0" fontId="0" fillId="0" borderId="0" xfId="0" applyBorder="1" applyAlignment="1"/>
    <xf numFmtId="0" fontId="0" fillId="0" borderId="4" xfId="0" applyBorder="1" applyAlignment="1"/>
    <xf numFmtId="0" fontId="55" fillId="0" borderId="0" xfId="0" applyFont="1" applyFill="1" applyAlignment="1">
      <alignment vertical="top" wrapText="1"/>
    </xf>
    <xf numFmtId="0" fontId="55" fillId="0" borderId="0" xfId="0" applyFont="1" applyAlignment="1"/>
    <xf numFmtId="0" fontId="2" fillId="0" borderId="20" xfId="0" applyFont="1" applyFill="1" applyBorder="1" applyAlignment="1">
      <alignment vertical="top" wrapText="1"/>
    </xf>
    <xf numFmtId="0" fontId="2" fillId="0" borderId="0" xfId="0" applyFont="1" applyFill="1" applyBorder="1" applyAlignment="1">
      <alignment vertical="top" wrapText="1"/>
    </xf>
    <xf numFmtId="0" fontId="15" fillId="0" borderId="0" xfId="0" applyFont="1" applyAlignment="1">
      <alignment horizontal="center"/>
    </xf>
  </cellXfs>
  <cellStyles count="3">
    <cellStyle name="_DOW_CHEMICAL_INTERNAL_0.93" xfId="1"/>
    <cellStyle name="Normal" xfId="0" builtinId="0"/>
    <cellStyle name="Normal_DOW_CHEMICAL_INTERNAL_0.93" xfId="2"/>
  </cellStyles>
  <dxfs count="105">
    <dxf>
      <fill>
        <patternFill>
          <bgColor indexed="52"/>
        </patternFill>
      </fill>
    </dxf>
    <dxf>
      <fill>
        <patternFill>
          <bgColor indexed="9"/>
        </patternFill>
      </fill>
    </dxf>
    <dxf>
      <fill>
        <patternFill>
          <bgColor indexed="52"/>
        </patternFill>
      </fill>
    </dxf>
    <dxf>
      <fill>
        <patternFill>
          <bgColor indexed="9"/>
        </patternFill>
      </fill>
    </dxf>
    <dxf>
      <fill>
        <patternFill>
          <bgColor indexed="52"/>
        </patternFill>
      </fill>
    </dxf>
    <dxf>
      <fill>
        <patternFill>
          <bgColor indexed="9"/>
        </patternFill>
      </fill>
    </dxf>
    <dxf>
      <fill>
        <patternFill>
          <bgColor indexed="47"/>
        </patternFill>
      </fill>
    </dxf>
    <dxf>
      <font>
        <condense val="0"/>
        <extend val="0"/>
        <color indexed="9"/>
      </font>
      <fill>
        <patternFill>
          <bgColor indexed="9"/>
        </patternFill>
      </fill>
    </dxf>
    <dxf>
      <font>
        <condense val="0"/>
        <extend val="0"/>
        <color indexed="9"/>
      </font>
      <fill>
        <patternFill>
          <bgColor indexed="9"/>
        </patternFill>
      </fill>
    </dxf>
    <dxf>
      <font>
        <b/>
        <i val="0"/>
        <condense val="0"/>
        <extend val="0"/>
        <color indexed="9"/>
      </font>
      <fill>
        <patternFill>
          <bgColor indexed="9"/>
        </patternFill>
      </fill>
    </dxf>
    <dxf>
      <font>
        <condense val="0"/>
        <extend val="0"/>
        <color indexed="37"/>
      </font>
    </dxf>
    <dxf>
      <font>
        <condense val="0"/>
        <extend val="0"/>
        <color indexed="10"/>
      </font>
    </dxf>
    <dxf>
      <font>
        <condense val="0"/>
        <extend val="0"/>
        <color indexed="37"/>
      </font>
    </dxf>
    <dxf>
      <font>
        <condense val="0"/>
        <extend val="0"/>
        <color indexed="10"/>
      </font>
    </dxf>
    <dxf>
      <font>
        <condense val="0"/>
        <extend val="0"/>
        <color indexed="37"/>
      </font>
    </dxf>
    <dxf>
      <font>
        <condense val="0"/>
        <extend val="0"/>
        <color indexed="10"/>
      </font>
    </dxf>
    <dxf>
      <font>
        <condense val="0"/>
        <extend val="0"/>
        <color indexed="10"/>
      </font>
    </dxf>
    <dxf>
      <font>
        <condense val="0"/>
        <extend val="0"/>
        <color indexed="37"/>
      </font>
    </dxf>
    <dxf>
      <fill>
        <patternFill>
          <bgColor indexed="51"/>
        </patternFill>
      </fill>
    </dxf>
    <dxf>
      <fill>
        <patternFill>
          <bgColor indexed="51"/>
        </patternFill>
      </fill>
    </dxf>
    <dxf>
      <fill>
        <patternFill>
          <bgColor indexed="52"/>
        </patternFill>
      </fill>
    </dxf>
    <dxf>
      <fill>
        <patternFill>
          <bgColor indexed="52"/>
        </patternFill>
      </fill>
    </dxf>
    <dxf>
      <fill>
        <patternFill>
          <bgColor indexed="52"/>
        </patternFill>
      </fill>
    </dxf>
    <dxf>
      <fill>
        <patternFill>
          <bgColor indexed="52"/>
        </patternFill>
      </fill>
    </dxf>
    <dxf>
      <font>
        <condense val="0"/>
        <extend val="0"/>
        <color indexed="10"/>
      </font>
    </dxf>
    <dxf>
      <font>
        <color indexed="37"/>
      </font>
    </dxf>
    <dxf>
      <fill>
        <patternFill>
          <bgColor indexed="52"/>
        </patternFill>
      </fill>
    </dxf>
    <dxf>
      <font>
        <condense val="0"/>
        <extend val="0"/>
        <color indexed="10"/>
      </font>
    </dxf>
    <dxf>
      <font>
        <color indexed="37"/>
      </font>
    </dxf>
    <dxf>
      <fill>
        <patternFill>
          <bgColor indexed="52"/>
        </patternFill>
      </fill>
    </dxf>
    <dxf>
      <fill>
        <patternFill>
          <bgColor indexed="47"/>
        </patternFill>
      </fill>
    </dxf>
    <dxf>
      <fill>
        <patternFill>
          <bgColor indexed="52"/>
        </patternFill>
      </fill>
    </dxf>
    <dxf>
      <fill>
        <patternFill>
          <bgColor indexed="9"/>
        </patternFill>
      </fill>
    </dxf>
    <dxf>
      <fill>
        <patternFill>
          <bgColor indexed="52"/>
        </patternFill>
      </fill>
    </dxf>
    <dxf>
      <fill>
        <patternFill>
          <bgColor indexed="52"/>
        </patternFill>
      </fill>
    </dxf>
    <dxf>
      <fill>
        <patternFill>
          <bgColor indexed="9"/>
        </patternFill>
      </fill>
    </dxf>
    <dxf>
      <font>
        <condense val="0"/>
        <extend val="0"/>
        <color indexed="10"/>
      </font>
    </dxf>
    <dxf>
      <font>
        <color indexed="37"/>
      </font>
    </dxf>
    <dxf>
      <fill>
        <patternFill>
          <bgColor indexed="52"/>
        </patternFill>
      </fill>
    </dxf>
    <dxf>
      <font>
        <condense val="0"/>
        <extend val="0"/>
        <color indexed="10"/>
      </font>
    </dxf>
    <dxf>
      <font>
        <color indexed="37"/>
      </font>
    </dxf>
    <dxf>
      <fill>
        <patternFill>
          <bgColor indexed="52"/>
        </patternFill>
      </fill>
    </dxf>
    <dxf>
      <font>
        <condense val="0"/>
        <extend val="0"/>
        <color indexed="10"/>
      </font>
    </dxf>
    <dxf>
      <font>
        <color indexed="37"/>
      </font>
    </dxf>
    <dxf>
      <fill>
        <patternFill>
          <bgColor indexed="52"/>
        </patternFill>
      </fill>
    </dxf>
    <dxf>
      <fill>
        <patternFill>
          <bgColor indexed="47"/>
        </patternFill>
      </fill>
    </dxf>
    <dxf>
      <fill>
        <patternFill>
          <bgColor indexed="52"/>
        </patternFill>
      </fill>
    </dxf>
    <dxf>
      <fill>
        <patternFill>
          <bgColor indexed="9"/>
        </patternFill>
      </fill>
    </dxf>
    <dxf>
      <fill>
        <patternFill>
          <bgColor indexed="52"/>
        </patternFill>
      </fill>
    </dxf>
    <dxf>
      <fill>
        <patternFill>
          <bgColor indexed="52"/>
        </patternFill>
      </fill>
    </dxf>
    <dxf>
      <fill>
        <patternFill>
          <bgColor indexed="9"/>
        </patternFill>
      </fill>
    </dxf>
    <dxf>
      <fill>
        <patternFill>
          <bgColor indexed="52"/>
        </patternFill>
      </fill>
    </dxf>
    <dxf>
      <fill>
        <patternFill>
          <bgColor indexed="9"/>
        </patternFill>
      </fill>
    </dxf>
    <dxf>
      <font>
        <condense val="0"/>
        <extend val="0"/>
        <color indexed="10"/>
      </font>
    </dxf>
    <dxf>
      <font>
        <color indexed="37"/>
      </font>
    </dxf>
    <dxf>
      <fill>
        <patternFill>
          <bgColor indexed="52"/>
        </patternFill>
      </fill>
    </dxf>
    <dxf>
      <fill>
        <patternFill>
          <bgColor indexed="52"/>
        </patternFill>
      </fill>
    </dxf>
    <dxf>
      <fill>
        <patternFill>
          <bgColor indexed="9"/>
        </patternFill>
      </fill>
    </dxf>
    <dxf>
      <font>
        <condense val="0"/>
        <extend val="0"/>
        <color indexed="10"/>
      </font>
    </dxf>
    <dxf>
      <font>
        <color indexed="37"/>
      </font>
    </dxf>
    <dxf>
      <fill>
        <patternFill>
          <bgColor indexed="52"/>
        </patternFill>
      </fill>
    </dxf>
    <dxf>
      <fill>
        <patternFill>
          <bgColor indexed="52"/>
        </patternFill>
      </fill>
    </dxf>
    <dxf>
      <fill>
        <patternFill>
          <bgColor indexed="9"/>
        </patternFill>
      </fill>
    </dxf>
    <dxf>
      <font>
        <condense val="0"/>
        <extend val="0"/>
        <color indexed="10"/>
      </font>
    </dxf>
    <dxf>
      <font>
        <color indexed="37"/>
      </font>
    </dxf>
    <dxf>
      <fill>
        <patternFill>
          <bgColor indexed="52"/>
        </patternFill>
      </fill>
    </dxf>
    <dxf>
      <fill>
        <patternFill>
          <bgColor indexed="52"/>
        </patternFill>
      </fill>
    </dxf>
    <dxf>
      <fill>
        <patternFill>
          <bgColor indexed="9"/>
        </patternFill>
      </fill>
    </dxf>
    <dxf>
      <font>
        <condense val="0"/>
        <extend val="0"/>
        <color indexed="10"/>
      </font>
    </dxf>
    <dxf>
      <font>
        <color indexed="37"/>
      </font>
    </dxf>
    <dxf>
      <fill>
        <patternFill>
          <bgColor indexed="52"/>
        </patternFill>
      </fill>
    </dxf>
    <dxf>
      <fill>
        <patternFill>
          <bgColor indexed="47"/>
        </patternFill>
      </fill>
    </dxf>
    <dxf>
      <fill>
        <patternFill>
          <bgColor indexed="52"/>
        </patternFill>
      </fill>
    </dxf>
    <dxf>
      <fill>
        <patternFill>
          <bgColor indexed="9"/>
        </patternFill>
      </fill>
    </dxf>
    <dxf>
      <fill>
        <patternFill>
          <bgColor indexed="52"/>
        </patternFill>
      </fill>
    </dxf>
    <dxf>
      <fill>
        <patternFill>
          <bgColor indexed="52"/>
        </patternFill>
      </fill>
    </dxf>
    <dxf>
      <fill>
        <patternFill>
          <bgColor indexed="9"/>
        </patternFill>
      </fill>
    </dxf>
    <dxf>
      <font>
        <condense val="0"/>
        <extend val="0"/>
        <color indexed="10"/>
      </font>
    </dxf>
    <dxf>
      <font>
        <color indexed="37"/>
      </font>
    </dxf>
    <dxf>
      <fill>
        <patternFill>
          <bgColor indexed="52"/>
        </patternFill>
      </fill>
    </dxf>
    <dxf>
      <fill>
        <patternFill>
          <bgColor indexed="47"/>
        </patternFill>
      </fill>
    </dxf>
    <dxf>
      <fill>
        <patternFill>
          <bgColor indexed="52"/>
        </patternFill>
      </fill>
    </dxf>
    <dxf>
      <fill>
        <patternFill>
          <bgColor indexed="9"/>
        </patternFill>
      </fill>
    </dxf>
    <dxf>
      <fill>
        <patternFill>
          <bgColor indexed="52"/>
        </patternFill>
      </fill>
    </dxf>
    <dxf>
      <fill>
        <patternFill>
          <bgColor indexed="52"/>
        </patternFill>
      </fill>
    </dxf>
    <dxf>
      <fill>
        <patternFill>
          <bgColor indexed="9"/>
        </patternFill>
      </fill>
    </dxf>
    <dxf>
      <fill>
        <patternFill>
          <bgColor indexed="47"/>
        </patternFill>
      </fill>
    </dxf>
    <dxf>
      <fill>
        <patternFill>
          <bgColor indexed="52"/>
        </patternFill>
      </fill>
    </dxf>
    <dxf>
      <fill>
        <patternFill>
          <bgColor indexed="9"/>
        </patternFill>
      </fill>
    </dxf>
    <dxf>
      <fill>
        <patternFill>
          <bgColor indexed="52"/>
        </patternFill>
      </fill>
    </dxf>
    <dxf>
      <fill>
        <patternFill>
          <bgColor indexed="9"/>
        </patternFill>
      </fill>
    </dxf>
    <dxf>
      <fill>
        <patternFill>
          <bgColor indexed="52"/>
        </patternFill>
      </fill>
    </dxf>
    <dxf>
      <fill>
        <patternFill>
          <bgColor indexed="9"/>
        </patternFill>
      </fill>
    </dxf>
    <dxf>
      <font>
        <condense val="0"/>
        <extend val="0"/>
        <color indexed="10"/>
      </font>
    </dxf>
    <dxf>
      <font>
        <color indexed="37"/>
      </font>
    </dxf>
    <dxf>
      <fill>
        <patternFill>
          <bgColor indexed="52"/>
        </patternFill>
      </fill>
    </dxf>
    <dxf>
      <font>
        <condense val="0"/>
        <extend val="0"/>
        <color indexed="10"/>
      </font>
    </dxf>
    <dxf>
      <font>
        <color indexed="37"/>
      </font>
    </dxf>
    <dxf>
      <fill>
        <patternFill>
          <bgColor indexed="52"/>
        </patternFill>
      </fill>
    </dxf>
    <dxf>
      <fill>
        <patternFill>
          <bgColor indexed="47"/>
        </patternFill>
      </fill>
    </dxf>
    <dxf>
      <fill>
        <patternFill>
          <bgColor indexed="52"/>
        </patternFill>
      </fill>
    </dxf>
    <dxf>
      <fill>
        <patternFill>
          <bgColor indexed="9"/>
        </patternFill>
      </fill>
    </dxf>
    <dxf>
      <fill>
        <patternFill>
          <bgColor indexed="52"/>
        </patternFill>
      </fill>
    </dxf>
    <dxf>
      <fill>
        <patternFill>
          <bgColor indexed="52"/>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CBD4D9"/>
      <rgbColor rgb="000000FF"/>
      <rgbColor rgb="00FFFF00"/>
      <rgbColor rgb="00CCE0F9"/>
      <rgbColor rgb="0000FFFF"/>
      <rgbColor rgb="00E8E8E8"/>
      <rgbColor rgb="00008000"/>
      <rgbColor rgb="00000080"/>
      <rgbColor rgb="00808000"/>
      <rgbColor rgb="00800080"/>
      <rgbColor rgb="00008080"/>
      <rgbColor rgb="00C0C0C0"/>
      <rgbColor rgb="00808080"/>
      <rgbColor rgb="009999FF"/>
      <rgbColor rgb="00993366"/>
      <rgbColor rgb="00EFEFD6"/>
      <rgbColor rgb="00CCFFFF"/>
      <rgbColor rgb="00660066"/>
      <rgbColor rgb="00FF8080"/>
      <rgbColor rgb="00DDDDDD"/>
      <rgbColor rgb="00FFFBF7"/>
      <rgbColor rgb="00000080"/>
      <rgbColor rgb="00FF00FF"/>
      <rgbColor rgb="00FFFF00"/>
      <rgbColor rgb="0000FFFF"/>
      <rgbColor rgb="00800080"/>
      <rgbColor rgb="0000CC66"/>
      <rgbColor rgb="00FF0000"/>
      <rgbColor rgb="0031659C"/>
      <rgbColor rgb="0000CCFF"/>
      <rgbColor rgb="00CCFFFF"/>
      <rgbColor rgb="00EFEFD6"/>
      <rgbColor rgb="00FFFF99"/>
      <rgbColor rgb="0099CCFF"/>
      <rgbColor rgb="00E5EEF3"/>
      <rgbColor rgb="00FFFBF7"/>
      <rgbColor rgb="00FFCC99"/>
      <rgbColor rgb="003366FF"/>
      <rgbColor rgb="0033CCCC"/>
      <rgbColor rgb="008ABBD1"/>
      <rgbColor rgb="00FFCC00"/>
      <rgbColor rgb="00FF9900"/>
      <rgbColor rgb="00FF6600"/>
      <rgbColor rgb="00666699"/>
      <rgbColor rgb="00969696"/>
      <rgbColor rgb="00003366"/>
      <rgbColor rgb="00339966"/>
      <rgbColor rgb="00003300"/>
      <rgbColor rgb="00333300"/>
      <rgbColor rgb="00D4DDD4"/>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6.4564659236373931E-2"/>
          <c:y val="3.0927835051546393E-2"/>
          <c:w val="0.90540673301240648"/>
          <c:h val="0.83505154639175261"/>
        </c:manualLayout>
      </c:layout>
      <c:scatterChart>
        <c:scatterStyle val="lineMarker"/>
        <c:ser>
          <c:idx val="0"/>
          <c:order val="0"/>
          <c:spPr>
            <a:ln w="28575">
              <a:noFill/>
            </a:ln>
          </c:spPr>
          <c:marker>
            <c:symbol val="diamond"/>
            <c:size val="5"/>
            <c:spPr>
              <a:solidFill>
                <a:srgbClr val="000000"/>
              </a:solidFill>
              <a:ln w="9525">
                <a:noFill/>
              </a:ln>
            </c:spPr>
          </c:marker>
          <c:dPt>
            <c:idx val="0"/>
          </c:dPt>
          <c:dPt>
            <c:idx val="1"/>
          </c:dPt>
          <c:dPt>
            <c:idx val="2"/>
          </c:dPt>
          <c:dPt>
            <c:idx val="4"/>
          </c:dPt>
          <c:dPt>
            <c:idx val="5"/>
          </c:dPt>
          <c:dPt>
            <c:idx val="9"/>
          </c:dPt>
          <c:dPt>
            <c:idx val="13"/>
          </c:dPt>
          <c:dLbls>
            <c:dLbl>
              <c:idx val="0"/>
              <c:tx>
                <c:rich>
                  <a:bodyPr/>
                  <a:lstStyle/>
                  <a:p>
                    <a:r>
                      <a:t>Argentina</a:t>
                    </a:r>
                  </a:p>
                </c:rich>
              </c:tx>
            </c:dLbl>
            <c:dLbl>
              <c:idx val="1"/>
              <c:tx>
                <c:rich>
                  <a:bodyPr/>
                  <a:lstStyle/>
                  <a:p>
                    <a:r>
                      <a:t>Bolivia</a:t>
                    </a:r>
                  </a:p>
                </c:rich>
              </c:tx>
            </c:dLbl>
            <c:dLbl>
              <c:idx val="2"/>
              <c:tx>
                <c:rich>
                  <a:bodyPr/>
                  <a:lstStyle/>
                  <a:p>
                    <a:r>
                      <a:t>Brazil</a:t>
                    </a:r>
                  </a:p>
                </c:rich>
              </c:tx>
            </c:dLbl>
            <c:dLbl>
              <c:idx val="3"/>
              <c:tx>
                <c:rich>
                  <a:bodyPr/>
                  <a:lstStyle/>
                  <a:p>
                    <a:r>
                      <a:t>Chile</a:t>
                    </a:r>
                  </a:p>
                </c:rich>
              </c:tx>
            </c:dLbl>
            <c:dLbl>
              <c:idx val="4"/>
              <c:tx>
                <c:rich>
                  <a:bodyPr/>
                  <a:lstStyle/>
                  <a:p>
                    <a:r>
                      <a:t>Colombia</a:t>
                    </a:r>
                  </a:p>
                </c:rich>
              </c:tx>
            </c:dLbl>
            <c:dLbl>
              <c:idx val="5"/>
              <c:tx>
                <c:rich>
                  <a:bodyPr/>
                  <a:lstStyle/>
                  <a:p>
                    <a:r>
                      <a:t>Costa Rica</a:t>
                    </a:r>
                  </a:p>
                </c:rich>
              </c:tx>
            </c:dLbl>
            <c:dLbl>
              <c:idx val="6"/>
              <c:tx>
                <c:rich>
                  <a:bodyPr/>
                  <a:lstStyle/>
                  <a:p>
                    <a:r>
                      <a:t>Dominican Rep</a:t>
                    </a:r>
                  </a:p>
                </c:rich>
              </c:tx>
            </c:dLbl>
            <c:dLbl>
              <c:idx val="7"/>
              <c:tx>
                <c:rich>
                  <a:bodyPr/>
                  <a:lstStyle/>
                  <a:p>
                    <a:r>
                      <a:t>Ecuador</a:t>
                    </a:r>
                  </a:p>
                </c:rich>
              </c:tx>
            </c:dLbl>
            <c:dLbl>
              <c:idx val="8"/>
              <c:tx>
                <c:rich>
                  <a:bodyPr/>
                  <a:lstStyle/>
                  <a:p>
                    <a:r>
                      <a:t>El Salvador</a:t>
                    </a:r>
                  </a:p>
                </c:rich>
              </c:tx>
            </c:dLbl>
            <c:dLbl>
              <c:idx val="9"/>
              <c:tx>
                <c:rich>
                  <a:bodyPr/>
                  <a:lstStyle/>
                  <a:p>
                    <a:r>
                      <a:t>Guatemala</a:t>
                    </a:r>
                  </a:p>
                </c:rich>
              </c:tx>
            </c:dLbl>
            <c:dLbl>
              <c:idx val="10"/>
              <c:tx>
                <c:rich>
                  <a:bodyPr/>
                  <a:lstStyle/>
                  <a:p>
                    <a:r>
                      <a:t>Haiti</a:t>
                    </a:r>
                  </a:p>
                </c:rich>
              </c:tx>
            </c:dLbl>
            <c:dLbl>
              <c:idx val="11"/>
              <c:tx>
                <c:rich>
                  <a:bodyPr/>
                  <a:lstStyle/>
                  <a:p>
                    <a:r>
                      <a:t>Honduras</a:t>
                    </a:r>
                  </a:p>
                </c:rich>
              </c:tx>
            </c:dLbl>
            <c:dLbl>
              <c:idx val="12"/>
              <c:tx>
                <c:rich>
                  <a:bodyPr/>
                  <a:lstStyle/>
                  <a:p>
                    <a:r>
                      <a:t>Jamaica</a:t>
                    </a:r>
                  </a:p>
                </c:rich>
              </c:tx>
            </c:dLbl>
            <c:dLbl>
              <c:idx val="13"/>
              <c:tx>
                <c:rich>
                  <a:bodyPr/>
                  <a:lstStyle/>
                  <a:p>
                    <a:r>
                      <a:t>Mexico</a:t>
                    </a:r>
                  </a:p>
                </c:rich>
              </c:tx>
            </c:dLbl>
            <c:dLbl>
              <c:idx val="14"/>
              <c:tx>
                <c:rich>
                  <a:bodyPr/>
                  <a:lstStyle/>
                  <a:p>
                    <a:r>
                      <a:t>Nicaragua</a:t>
                    </a:r>
                  </a:p>
                </c:rich>
              </c:tx>
            </c:dLbl>
            <c:dLbl>
              <c:idx val="15"/>
              <c:tx>
                <c:rich>
                  <a:bodyPr/>
                  <a:lstStyle/>
                  <a:p>
                    <a:r>
                      <a:t>Panama</a:t>
                    </a:r>
                  </a:p>
                </c:rich>
              </c:tx>
            </c:dLbl>
            <c:dLbl>
              <c:idx val="16"/>
              <c:tx>
                <c:rich>
                  <a:bodyPr/>
                  <a:lstStyle/>
                  <a:p>
                    <a:r>
                      <a:t>Paraguay</a:t>
                    </a:r>
                  </a:p>
                </c:rich>
              </c:tx>
            </c:dLbl>
            <c:dLbl>
              <c:idx val="17"/>
              <c:tx>
                <c:rich>
                  <a:bodyPr/>
                  <a:lstStyle/>
                  <a:p>
                    <a:r>
                      <a:t>Peru</a:t>
                    </a:r>
                  </a:p>
                </c:rich>
              </c:tx>
            </c:dLbl>
            <c:dLbl>
              <c:idx val="18"/>
              <c:tx>
                <c:rich>
                  <a:bodyPr/>
                  <a:lstStyle/>
                  <a:p>
                    <a:r>
                      <a:t>Uruguay</a:t>
                    </a:r>
                  </a:p>
                </c:rich>
              </c:tx>
            </c:dLbl>
            <c:dLbl>
              <c:idx val="19"/>
              <c:tx>
                <c:rich>
                  <a:bodyPr/>
                  <a:lstStyle/>
                  <a:p>
                    <a:r>
                      <a:t>Venezuela</a:t>
                    </a:r>
                  </a:p>
                </c:rich>
              </c:tx>
            </c:dLbl>
            <c:spPr>
              <a:noFill/>
              <a:ln w="25400">
                <a:noFill/>
              </a:ln>
            </c:spPr>
            <c:txPr>
              <a:bodyPr/>
              <a:lstStyle/>
              <a:p>
                <a:pPr>
                  <a:defRPr sz="800" b="0" i="0" u="none" strike="noStrike" baseline="0">
                    <a:solidFill>
                      <a:srgbClr val="000000"/>
                    </a:solidFill>
                    <a:latin typeface="Arial"/>
                    <a:ea typeface="Arial"/>
                    <a:cs typeface="Arial"/>
                  </a:defRPr>
                </a:pPr>
                <a:endParaRPr lang="en-US"/>
              </a:p>
            </c:txPr>
            <c:showSerName val="1"/>
          </c:dLbls>
          <c:xVal>
            <c:numRef>
              <c:f>uxb_correl!$D$13:$W$13</c:f>
              <c:numCache>
                <c:formatCode>General</c:formatCode>
                <c:ptCount val="20"/>
                <c:pt idx="0">
                  <c:v>2.8115176915192966E-3</c:v>
                </c:pt>
                <c:pt idx="1">
                  <c:v>0.31562869894023204</c:v>
                </c:pt>
                <c:pt idx="2">
                  <c:v>1.2928303003645846E-2</c:v>
                </c:pt>
                <c:pt idx="3">
                  <c:v>0.19904656431850123</c:v>
                </c:pt>
                <c:pt idx="4">
                  <c:v>7.1735555704497106E-2</c:v>
                </c:pt>
                <c:pt idx="5">
                  <c:v>0</c:v>
                </c:pt>
                <c:pt idx="6">
                  <c:v>0.10382451590780013</c:v>
                </c:pt>
                <c:pt idx="7">
                  <c:v>0.26904596525221602</c:v>
                </c:pt>
                <c:pt idx="8">
                  <c:v>0.16196593161937706</c:v>
                </c:pt>
                <c:pt idx="9">
                  <c:v>0.22704793189674516</c:v>
                </c:pt>
                <c:pt idx="10">
                  <c:v>0</c:v>
                </c:pt>
                <c:pt idx="11">
                  <c:v>0</c:v>
                </c:pt>
                <c:pt idx="12">
                  <c:v>0</c:v>
                </c:pt>
                <c:pt idx="13">
                  <c:v>0.11716820292479894</c:v>
                </c:pt>
                <c:pt idx="14">
                  <c:v>0.58347605802433988</c:v>
                </c:pt>
                <c:pt idx="15">
                  <c:v>0</c:v>
                </c:pt>
                <c:pt idx="16">
                  <c:v>6.179420534093856E-2</c:v>
                </c:pt>
                <c:pt idx="17">
                  <c:v>#N/A</c:v>
                </c:pt>
                <c:pt idx="18">
                  <c:v>1.8481447519663175E-2</c:v>
                </c:pt>
                <c:pt idx="19">
                  <c:v>1.3848243648281897E-2</c:v>
                </c:pt>
              </c:numCache>
            </c:numRef>
          </c:xVal>
          <c:yVal>
            <c:numRef>
              <c:f>uxb_correl!$D$14:$W$14</c:f>
              <c:numCache>
                <c:formatCode>General</c:formatCode>
                <c:ptCount val="20"/>
                <c:pt idx="0">
                  <c:v>28.5</c:v>
                </c:pt>
                <c:pt idx="1">
                  <c:v>74.388888888888886</c:v>
                </c:pt>
                <c:pt idx="2">
                  <c:v>41.555555555555557</c:v>
                </c:pt>
                <c:pt idx="3">
                  <c:v>43.166666666666671</c:v>
                </c:pt>
                <c:pt idx="4">
                  <c:v>58.611111111111114</c:v>
                </c:pt>
                <c:pt idx="5">
                  <c:v>40.274999999999991</c:v>
                </c:pt>
                <c:pt idx="6">
                  <c:v>48</c:v>
                </c:pt>
                <c:pt idx="7">
                  <c:v>69.666666666666671</c:v>
                </c:pt>
                <c:pt idx="8">
                  <c:v>58.999999999999993</c:v>
                </c:pt>
                <c:pt idx="9">
                  <c:v>54</c:v>
                </c:pt>
                <c:pt idx="10">
                  <c:v>30.166666666666664</c:v>
                </c:pt>
                <c:pt idx="11">
                  <c:v>47.108333333333334</c:v>
                </c:pt>
                <c:pt idx="12">
                  <c:v>21.166666666666664</c:v>
                </c:pt>
                <c:pt idx="13">
                  <c:v>47.5</c:v>
                </c:pt>
                <c:pt idx="14">
                  <c:v>58</c:v>
                </c:pt>
                <c:pt idx="15">
                  <c:v>47.5</c:v>
                </c:pt>
                <c:pt idx="16">
                  <c:v>49.608333333333327</c:v>
                </c:pt>
                <c:pt idx="17">
                  <c:v>#N/A</c:v>
                </c:pt>
                <c:pt idx="18">
                  <c:v>28.333333333333329</c:v>
                </c:pt>
                <c:pt idx="19">
                  <c:v>24.941666666666663</c:v>
                </c:pt>
              </c:numCache>
            </c:numRef>
          </c:yVal>
        </c:ser>
        <c:ser>
          <c:idx val="1"/>
          <c:order val="1"/>
          <c:tx>
            <c:strRef>
              <c:f>uxb_correl!$B$2</c:f>
              <c:strCache>
                <c:ptCount val="1"/>
                <c:pt idx="0">
                  <c:v>Peru</c:v>
                </c:pt>
              </c:strCache>
            </c:strRef>
          </c:tx>
          <c:spPr>
            <a:ln w="28575">
              <a:noFill/>
            </a:ln>
          </c:spPr>
          <c:marker>
            <c:symbol val="diamond"/>
            <c:size val="7"/>
            <c:spPr>
              <a:solidFill>
                <a:srgbClr val="FF0000"/>
              </a:solidFill>
            </c:spPr>
          </c:marker>
          <c:dLbls>
            <c:spPr>
              <a:noFill/>
              <a:ln w="25400">
                <a:noFill/>
              </a:ln>
            </c:spPr>
            <c:txPr>
              <a:bodyPr/>
              <a:lstStyle/>
              <a:p>
                <a:pPr>
                  <a:defRPr sz="1000" b="0" i="0" u="none" strike="noStrike" baseline="0">
                    <a:solidFill>
                      <a:srgbClr val="FF0000"/>
                    </a:solidFill>
                    <a:latin typeface="Arial"/>
                    <a:ea typeface="Arial"/>
                    <a:cs typeface="Arial"/>
                  </a:defRPr>
                </a:pPr>
                <a:endParaRPr lang="en-US"/>
              </a:p>
            </c:txPr>
            <c:showSerName val="1"/>
          </c:dLbls>
          <c:xVal>
            <c:numRef>
              <c:f>uxb_correl!$B$3</c:f>
              <c:numCache>
                <c:formatCode>General</c:formatCode>
                <c:ptCount val="1"/>
                <c:pt idx="0">
                  <c:v>0.23518268818494176</c:v>
                </c:pt>
              </c:numCache>
            </c:numRef>
          </c:xVal>
          <c:yVal>
            <c:numRef>
              <c:f>uxb_correl!$B$4</c:f>
              <c:numCache>
                <c:formatCode>General</c:formatCode>
                <c:ptCount val="1"/>
                <c:pt idx="0">
                  <c:v>76.608333333333334</c:v>
                </c:pt>
              </c:numCache>
            </c:numRef>
          </c:yVal>
        </c:ser>
        <c:ser>
          <c:idx val="2"/>
          <c:order val="2"/>
          <c:tx>
            <c:v>{all points - not displayed}</c:v>
          </c:tx>
          <c:spPr>
            <a:ln w="28575">
              <a:noFill/>
            </a:ln>
          </c:spPr>
          <c:marker>
            <c:symbol val="none"/>
          </c:marker>
          <c:trendline>
            <c:spPr>
              <a:ln w="25400">
                <a:solidFill>
                  <a:srgbClr val="FFC000"/>
                </a:solidFill>
              </a:ln>
            </c:spPr>
            <c:trendlineType val="linear"/>
          </c:trendline>
          <c:xVal>
            <c:numRef>
              <c:f>uxb_correl!$D$9:$W$9</c:f>
              <c:numCache>
                <c:formatCode>General</c:formatCode>
                <c:ptCount val="20"/>
                <c:pt idx="0">
                  <c:v>2.8115176915192966E-3</c:v>
                </c:pt>
                <c:pt idx="1">
                  <c:v>0.31562869894023204</c:v>
                </c:pt>
                <c:pt idx="2">
                  <c:v>1.2928303003645846E-2</c:v>
                </c:pt>
                <c:pt idx="3">
                  <c:v>0.19904656431850123</c:v>
                </c:pt>
                <c:pt idx="4">
                  <c:v>7.1735555704497106E-2</c:v>
                </c:pt>
                <c:pt idx="5">
                  <c:v>0</c:v>
                </c:pt>
                <c:pt idx="6">
                  <c:v>0.10382451590780013</c:v>
                </c:pt>
                <c:pt idx="7">
                  <c:v>0.26904596525221602</c:v>
                </c:pt>
                <c:pt idx="8">
                  <c:v>0.16196593161937706</c:v>
                </c:pt>
                <c:pt idx="9">
                  <c:v>0.22704793189674516</c:v>
                </c:pt>
                <c:pt idx="10">
                  <c:v>0</c:v>
                </c:pt>
                <c:pt idx="11">
                  <c:v>0</c:v>
                </c:pt>
                <c:pt idx="12">
                  <c:v>0</c:v>
                </c:pt>
                <c:pt idx="13">
                  <c:v>0.11716820292479894</c:v>
                </c:pt>
                <c:pt idx="14">
                  <c:v>0.58347605802433988</c:v>
                </c:pt>
                <c:pt idx="15">
                  <c:v>0</c:v>
                </c:pt>
                <c:pt idx="16">
                  <c:v>6.179420534093856E-2</c:v>
                </c:pt>
                <c:pt idx="17">
                  <c:v>0.23518268818494176</c:v>
                </c:pt>
                <c:pt idx="18">
                  <c:v>1.8481447519663175E-2</c:v>
                </c:pt>
                <c:pt idx="19">
                  <c:v>1.3848243648281897E-2</c:v>
                </c:pt>
              </c:numCache>
            </c:numRef>
          </c:xVal>
          <c:yVal>
            <c:numRef>
              <c:f>uxb_correl!$D$10:$W$10</c:f>
              <c:numCache>
                <c:formatCode>General</c:formatCode>
                <c:ptCount val="20"/>
                <c:pt idx="0">
                  <c:v>28.5</c:v>
                </c:pt>
                <c:pt idx="1">
                  <c:v>74.388888888888886</c:v>
                </c:pt>
                <c:pt idx="2">
                  <c:v>41.555555555555557</c:v>
                </c:pt>
                <c:pt idx="3">
                  <c:v>43.166666666666671</c:v>
                </c:pt>
                <c:pt idx="4">
                  <c:v>58.611111111111114</c:v>
                </c:pt>
                <c:pt idx="5">
                  <c:v>40.274999999999991</c:v>
                </c:pt>
                <c:pt idx="6">
                  <c:v>48</c:v>
                </c:pt>
                <c:pt idx="7">
                  <c:v>69.666666666666671</c:v>
                </c:pt>
                <c:pt idx="8">
                  <c:v>58.999999999999993</c:v>
                </c:pt>
                <c:pt idx="9">
                  <c:v>54</c:v>
                </c:pt>
                <c:pt idx="10">
                  <c:v>30.166666666666664</c:v>
                </c:pt>
                <c:pt idx="11">
                  <c:v>47.108333333333334</c:v>
                </c:pt>
                <c:pt idx="12">
                  <c:v>21.166666666666664</c:v>
                </c:pt>
                <c:pt idx="13">
                  <c:v>47.5</c:v>
                </c:pt>
                <c:pt idx="14">
                  <c:v>58</c:v>
                </c:pt>
                <c:pt idx="15">
                  <c:v>47.5</c:v>
                </c:pt>
                <c:pt idx="16">
                  <c:v>49.608333333333327</c:v>
                </c:pt>
                <c:pt idx="17">
                  <c:v>76.608333333333334</c:v>
                </c:pt>
                <c:pt idx="18">
                  <c:v>28.333333333333329</c:v>
                </c:pt>
                <c:pt idx="19">
                  <c:v>24.941666666666663</c:v>
                </c:pt>
              </c:numCache>
            </c:numRef>
          </c:yVal>
        </c:ser>
        <c:axId val="66459904"/>
        <c:axId val="66486656"/>
      </c:scatterChart>
      <c:valAx>
        <c:axId val="66459904"/>
        <c:scaling>
          <c:orientation val="minMax"/>
        </c:scaling>
        <c:axPos val="b"/>
        <c:title>
          <c:tx>
            <c:strRef>
              <c:f>uxb_correl!$C$9</c:f>
              <c:strCache>
                <c:ptCount val="1"/>
                <c:pt idx="0">
                  <c:v>MFI clients as % of microenterprises</c:v>
                </c:pt>
              </c:strCache>
            </c:strRef>
          </c:tx>
          <c:layout>
            <c:manualLayout>
              <c:xMode val="edge"/>
              <c:yMode val="edge"/>
              <c:x val="0.3648653377787236"/>
              <c:y val="0.92164948453608242"/>
            </c:manualLayout>
          </c:layout>
          <c:spPr>
            <a:noFill/>
            <a:ln w="25400">
              <a:noFill/>
            </a:ln>
          </c:spPr>
          <c:txPr>
            <a:bodyPr/>
            <a:lstStyle/>
            <a:p>
              <a:pPr>
                <a:defRPr sz="1025" b="0" i="0" u="none" strike="noStrike" baseline="0">
                  <a:solidFill>
                    <a:srgbClr val="003366"/>
                  </a:solidFill>
                  <a:latin typeface="Officina Sans ITC Book"/>
                  <a:ea typeface="Officina Sans ITC Book"/>
                  <a:cs typeface="Officina Sans ITC Book"/>
                </a:defRPr>
              </a:pPr>
              <a:endParaRPr lang="en-US"/>
            </a:p>
          </c:txPr>
        </c:title>
        <c:numFmt formatCode="0.0%" sourceLinked="0"/>
        <c:tickLblPos val="nextTo"/>
        <c:spPr>
          <a:ln w="3175">
            <a:solidFill>
              <a:srgbClr val="808080"/>
            </a:solidFill>
            <a:prstDash val="solid"/>
          </a:ln>
        </c:spPr>
        <c:txPr>
          <a:bodyPr rot="0" vert="horz"/>
          <a:lstStyle/>
          <a:p>
            <a:pPr>
              <a:defRPr sz="800" b="0" i="0" u="none" strike="noStrike" baseline="0">
                <a:solidFill>
                  <a:srgbClr val="000000"/>
                </a:solidFill>
                <a:latin typeface="Officina Sans ITC Book"/>
                <a:ea typeface="Officina Sans ITC Book"/>
                <a:cs typeface="Officina Sans ITC Book"/>
              </a:defRPr>
            </a:pPr>
            <a:endParaRPr lang="en-US"/>
          </a:p>
        </c:txPr>
        <c:crossAx val="66486656"/>
        <c:crosses val="autoZero"/>
        <c:crossBetween val="midCat"/>
      </c:valAx>
      <c:valAx>
        <c:axId val="66486656"/>
        <c:scaling>
          <c:orientation val="minMax"/>
          <c:max val="100"/>
        </c:scaling>
        <c:axPos val="l"/>
        <c:majorGridlines>
          <c:spPr>
            <a:ln w="3175">
              <a:solidFill>
                <a:srgbClr val="C0C0C0"/>
              </a:solidFill>
              <a:prstDash val="sysDash"/>
            </a:ln>
          </c:spPr>
        </c:majorGridlines>
        <c:numFmt formatCode="General" sourceLinked="1"/>
        <c:tickLblPos val="nextTo"/>
        <c:spPr>
          <a:ln w="3175">
            <a:solidFill>
              <a:srgbClr val="808080"/>
            </a:solidFill>
            <a:prstDash val="solid"/>
          </a:ln>
        </c:spPr>
        <c:txPr>
          <a:bodyPr rot="0" vert="horz"/>
          <a:lstStyle/>
          <a:p>
            <a:pPr>
              <a:defRPr sz="800" b="0" i="0" u="none" strike="noStrike" baseline="0">
                <a:solidFill>
                  <a:srgbClr val="000000"/>
                </a:solidFill>
                <a:latin typeface="Officina Sans ITC Book"/>
                <a:ea typeface="Officina Sans ITC Book"/>
                <a:cs typeface="Officina Sans ITC Book"/>
              </a:defRPr>
            </a:pPr>
            <a:endParaRPr lang="en-US"/>
          </a:p>
        </c:txPr>
        <c:crossAx val="66459904"/>
        <c:crosses val="autoZero"/>
        <c:crossBetween val="midCat"/>
        <c:majorUnit val="20"/>
      </c:valAx>
      <c:spPr>
        <a:solidFill>
          <a:srgbClr val="EFEFD6"/>
        </a:solidFill>
        <a:ln w="25400">
          <a:noFill/>
        </a:ln>
      </c:spPr>
    </c:plotArea>
    <c:plotVisOnly val="1"/>
    <c:dispBlanksAs val="gap"/>
  </c:chart>
  <c:spPr>
    <a:solidFill>
      <a:srgbClr val="E5EEF3"/>
    </a:solidFill>
    <a:ln w="3175">
      <a:solidFill>
        <a:srgbClr val="E8E8E8"/>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f1research.net/?id=iadb" TargetMode="External"/><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0</xdr:col>
      <xdr:colOff>133350</xdr:colOff>
      <xdr:row>1</xdr:row>
      <xdr:rowOff>0</xdr:rowOff>
    </xdr:to>
    <xdr:sp macro="" textlink="">
      <xdr:nvSpPr>
        <xdr:cNvPr id="23794" name="Rectangle 1"/>
        <xdr:cNvSpPr>
          <a:spLocks noChangeArrowheads="1"/>
        </xdr:cNvSpPr>
      </xdr:nvSpPr>
      <xdr:spPr bwMode="auto">
        <a:xfrm>
          <a:off x="0" y="9525"/>
          <a:ext cx="133350" cy="257175"/>
        </a:xfrm>
        <a:prstGeom prst="rect">
          <a:avLst/>
        </a:prstGeom>
        <a:solidFill>
          <a:srgbClr val="FF0000"/>
        </a:solidFill>
        <a:ln w="9525">
          <a:noFill/>
          <a:miter lim="800000"/>
          <a:headEnd/>
          <a:tailEnd/>
        </a:ln>
      </xdr:spPr>
    </xdr:sp>
    <xdr:clientData/>
  </xdr:twoCellAnchor>
  <xdr:twoCellAnchor>
    <xdr:from>
      <xdr:col>13</xdr:col>
      <xdr:colOff>497680</xdr:colOff>
      <xdr:row>0</xdr:row>
      <xdr:rowOff>42862</xdr:rowOff>
    </xdr:from>
    <xdr:to>
      <xdr:col>14</xdr:col>
      <xdr:colOff>595312</xdr:colOff>
      <xdr:row>0</xdr:row>
      <xdr:rowOff>214313</xdr:rowOff>
    </xdr:to>
    <xdr:sp macro="" textlink="">
      <xdr:nvSpPr>
        <xdr:cNvPr id="3" name="Text Box 3"/>
        <xdr:cNvSpPr txBox="1">
          <a:spLocks noChangeArrowheads="1"/>
        </xdr:cNvSpPr>
      </xdr:nvSpPr>
      <xdr:spPr bwMode="auto">
        <a:xfrm>
          <a:off x="4307680" y="42862"/>
          <a:ext cx="1169195" cy="17145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0" i="0" strike="noStrike">
              <a:solidFill>
                <a:srgbClr val="333333"/>
              </a:solidFill>
              <a:latin typeface="Verdana"/>
            </a:rPr>
            <a:t>Highlight country:</a:t>
          </a:r>
        </a:p>
      </xdr:txBody>
    </xdr:sp>
    <xdr:clientData/>
  </xdr:twoCellAnchor>
  <xdr:twoCellAnchor>
    <xdr:from>
      <xdr:col>2</xdr:col>
      <xdr:colOff>2381</xdr:colOff>
      <xdr:row>24</xdr:row>
      <xdr:rowOff>38100</xdr:rowOff>
    </xdr:from>
    <xdr:to>
      <xdr:col>11</xdr:col>
      <xdr:colOff>52388</xdr:colOff>
      <xdr:row>25</xdr:row>
      <xdr:rowOff>114300</xdr:rowOff>
    </xdr:to>
    <xdr:sp macro="" textlink="">
      <xdr:nvSpPr>
        <xdr:cNvPr id="4" name="Text Box 8"/>
        <xdr:cNvSpPr txBox="1">
          <a:spLocks noChangeArrowheads="1"/>
        </xdr:cNvSpPr>
      </xdr:nvSpPr>
      <xdr:spPr bwMode="auto">
        <a:xfrm>
          <a:off x="514350" y="4572000"/>
          <a:ext cx="2324100" cy="238125"/>
        </a:xfrm>
        <a:prstGeom prst="rect">
          <a:avLst/>
        </a:prstGeom>
        <a:solidFill>
          <a:srgbClr val="E5EEF3"/>
        </a:solidFill>
        <a:ln w="9525">
          <a:noFill/>
          <a:miter lim="800000"/>
          <a:headEnd/>
          <a:tailEnd/>
        </a:ln>
      </xdr:spPr>
      <xdr:txBody>
        <a:bodyPr vertOverflow="clip" wrap="square" lIns="90000" tIns="36000" rIns="90000" bIns="46800" anchor="t" upright="1"/>
        <a:lstStyle/>
        <a:p>
          <a:pPr algn="l" rtl="0">
            <a:defRPr sz="1000"/>
          </a:pPr>
          <a:r>
            <a:rPr lang="en-US" sz="1000" b="0" i="0" strike="noStrike">
              <a:solidFill>
                <a:srgbClr val="808080"/>
              </a:solidFill>
              <a:latin typeface="Verdana"/>
            </a:rPr>
            <a:t>All scored 0-100 where 100=best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85725</xdr:colOff>
      <xdr:row>2</xdr:row>
      <xdr:rowOff>19050</xdr:rowOff>
    </xdr:from>
    <xdr:to>
      <xdr:col>11</xdr:col>
      <xdr:colOff>733425</xdr:colOff>
      <xdr:row>28</xdr:row>
      <xdr:rowOff>123825</xdr:rowOff>
    </xdr:to>
    <xdr:graphicFrame macro="">
      <xdr:nvGraphicFramePr>
        <xdr:cNvPr id="10694" name="cht_scatte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9525</xdr:rowOff>
    </xdr:from>
    <xdr:to>
      <xdr:col>0</xdr:col>
      <xdr:colOff>133350</xdr:colOff>
      <xdr:row>1</xdr:row>
      <xdr:rowOff>0</xdr:rowOff>
    </xdr:to>
    <xdr:sp macro="" textlink="">
      <xdr:nvSpPr>
        <xdr:cNvPr id="10695" name="Rectangle 4"/>
        <xdr:cNvSpPr>
          <a:spLocks noChangeArrowheads="1"/>
        </xdr:cNvSpPr>
      </xdr:nvSpPr>
      <xdr:spPr bwMode="auto">
        <a:xfrm>
          <a:off x="0" y="9525"/>
          <a:ext cx="133350" cy="257175"/>
        </a:xfrm>
        <a:prstGeom prst="rect">
          <a:avLst/>
        </a:prstGeom>
        <a:solidFill>
          <a:srgbClr val="FF0000"/>
        </a:solidFill>
        <a:ln w="9525">
          <a:noFill/>
          <a:miter lim="800000"/>
          <a:headEnd/>
          <a:tailEnd/>
        </a:ln>
      </xdr:spPr>
    </xdr:sp>
    <xdr:clientData/>
  </xdr:twoCellAnchor>
  <xdr:twoCellAnchor>
    <xdr:from>
      <xdr:col>12</xdr:col>
      <xdr:colOff>66675</xdr:colOff>
      <xdr:row>0</xdr:row>
      <xdr:rowOff>57150</xdr:rowOff>
    </xdr:from>
    <xdr:to>
      <xdr:col>13</xdr:col>
      <xdr:colOff>952500</xdr:colOff>
      <xdr:row>0</xdr:row>
      <xdr:rowOff>219075</xdr:rowOff>
    </xdr:to>
    <xdr:sp macro="" textlink="">
      <xdr:nvSpPr>
        <xdr:cNvPr id="10245" name="Text Box 5"/>
        <xdr:cNvSpPr txBox="1">
          <a:spLocks noChangeArrowheads="1"/>
        </xdr:cNvSpPr>
      </xdr:nvSpPr>
      <xdr:spPr bwMode="auto">
        <a:xfrm>
          <a:off x="6791325" y="57150"/>
          <a:ext cx="114300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strike="noStrike">
              <a:solidFill>
                <a:srgbClr val="333333"/>
              </a:solidFill>
              <a:latin typeface="Verdana"/>
            </a:rPr>
            <a:t>Highlight country:</a:t>
          </a:r>
        </a:p>
      </xdr:txBody>
    </xdr:sp>
    <xdr:clientData/>
  </xdr:twoCellAnchor>
  <xdr:twoCellAnchor>
    <xdr:from>
      <xdr:col>12</xdr:col>
      <xdr:colOff>28575</xdr:colOff>
      <xdr:row>2</xdr:row>
      <xdr:rowOff>95250</xdr:rowOff>
    </xdr:from>
    <xdr:to>
      <xdr:col>13</xdr:col>
      <xdr:colOff>266700</xdr:colOff>
      <xdr:row>3</xdr:row>
      <xdr:rowOff>114300</xdr:rowOff>
    </xdr:to>
    <xdr:sp macro="" textlink="">
      <xdr:nvSpPr>
        <xdr:cNvPr id="10247" name="Text Box 7"/>
        <xdr:cNvSpPr txBox="1">
          <a:spLocks noChangeArrowheads="1"/>
        </xdr:cNvSpPr>
      </xdr:nvSpPr>
      <xdr:spPr bwMode="auto">
        <a:xfrm>
          <a:off x="6753225" y="523875"/>
          <a:ext cx="495300" cy="1809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3366"/>
              </a:solidFill>
              <a:latin typeface="Arial"/>
              <a:cs typeface="Arial"/>
            </a:rPr>
            <a:t>X-Axis</a:t>
          </a:r>
        </a:p>
      </xdr:txBody>
    </xdr:sp>
    <xdr:clientData/>
  </xdr:twoCellAnchor>
  <xdr:twoCellAnchor>
    <xdr:from>
      <xdr:col>12</xdr:col>
      <xdr:colOff>9525</xdr:colOff>
      <xdr:row>4</xdr:row>
      <xdr:rowOff>19050</xdr:rowOff>
    </xdr:from>
    <xdr:to>
      <xdr:col>13</xdr:col>
      <xdr:colOff>247650</xdr:colOff>
      <xdr:row>5</xdr:row>
      <xdr:rowOff>38100</xdr:rowOff>
    </xdr:to>
    <xdr:sp macro="" textlink="">
      <xdr:nvSpPr>
        <xdr:cNvPr id="10248" name="Text Box 8"/>
        <xdr:cNvSpPr txBox="1">
          <a:spLocks noChangeArrowheads="1"/>
        </xdr:cNvSpPr>
      </xdr:nvSpPr>
      <xdr:spPr bwMode="auto">
        <a:xfrm>
          <a:off x="6734175" y="771525"/>
          <a:ext cx="495300" cy="1809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993366"/>
              </a:solidFill>
              <a:latin typeface="Arial"/>
              <a:cs typeface="Arial"/>
            </a:rPr>
            <a:t>Y-Axis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9525</xdr:rowOff>
    </xdr:from>
    <xdr:to>
      <xdr:col>0</xdr:col>
      <xdr:colOff>133350</xdr:colOff>
      <xdr:row>1</xdr:row>
      <xdr:rowOff>0</xdr:rowOff>
    </xdr:to>
    <xdr:sp macro="" textlink="">
      <xdr:nvSpPr>
        <xdr:cNvPr id="4372" name="Rectangle 1"/>
        <xdr:cNvSpPr>
          <a:spLocks noChangeArrowheads="1"/>
        </xdr:cNvSpPr>
      </xdr:nvSpPr>
      <xdr:spPr bwMode="auto">
        <a:xfrm>
          <a:off x="0" y="9525"/>
          <a:ext cx="133350" cy="257175"/>
        </a:xfrm>
        <a:prstGeom prst="rect">
          <a:avLst/>
        </a:prstGeom>
        <a:solidFill>
          <a:srgbClr val="FF0000"/>
        </a:solidFill>
        <a:ln w="9525">
          <a:noFill/>
          <a:miter lim="800000"/>
          <a:headEnd/>
          <a:tailEnd/>
        </a:ln>
      </xdr:spPr>
    </xdr:sp>
    <xdr:clientData/>
  </xdr:twoCellAnchor>
  <xdr:twoCellAnchor>
    <xdr:from>
      <xdr:col>0</xdr:col>
      <xdr:colOff>66675</xdr:colOff>
      <xdr:row>27</xdr:row>
      <xdr:rowOff>28575</xdr:rowOff>
    </xdr:from>
    <xdr:to>
      <xdr:col>0</xdr:col>
      <xdr:colOff>1209675</xdr:colOff>
      <xdr:row>28</xdr:row>
      <xdr:rowOff>38100</xdr:rowOff>
    </xdr:to>
    <xdr:sp macro="" textlink="">
      <xdr:nvSpPr>
        <xdr:cNvPr id="4102" name="Text Box 6"/>
        <xdr:cNvSpPr txBox="1">
          <a:spLocks noChangeArrowheads="1"/>
        </xdr:cNvSpPr>
      </xdr:nvSpPr>
      <xdr:spPr bwMode="auto">
        <a:xfrm>
          <a:off x="66675" y="3695700"/>
          <a:ext cx="1143000"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strike="noStrike">
              <a:solidFill>
                <a:srgbClr val="003366"/>
              </a:solidFill>
              <a:latin typeface="Verdana"/>
            </a:rPr>
            <a:t>Highlight country</a:t>
          </a:r>
        </a:p>
      </xdr:txBody>
    </xdr:sp>
    <xdr:clientData/>
  </xdr:twoCellAnchor>
  <xdr:twoCellAnchor>
    <xdr:from>
      <xdr:col>0</xdr:col>
      <xdr:colOff>38100</xdr:colOff>
      <xdr:row>5</xdr:row>
      <xdr:rowOff>19050</xdr:rowOff>
    </xdr:from>
    <xdr:to>
      <xdr:col>0</xdr:col>
      <xdr:colOff>1181100</xdr:colOff>
      <xdr:row>6</xdr:row>
      <xdr:rowOff>28575</xdr:rowOff>
    </xdr:to>
    <xdr:sp macro="" textlink="">
      <xdr:nvSpPr>
        <xdr:cNvPr id="4104" name="Text Box 8"/>
        <xdr:cNvSpPr txBox="1">
          <a:spLocks noChangeArrowheads="1"/>
        </xdr:cNvSpPr>
      </xdr:nvSpPr>
      <xdr:spPr bwMode="auto">
        <a:xfrm>
          <a:off x="38100" y="933450"/>
          <a:ext cx="1143000"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strike="noStrike">
              <a:solidFill>
                <a:srgbClr val="003366"/>
              </a:solidFill>
              <a:latin typeface="Verdana"/>
            </a:rPr>
            <a:t>Select indicator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0</xdr:colOff>
      <xdr:row>1</xdr:row>
      <xdr:rowOff>0</xdr:rowOff>
    </xdr:to>
    <xdr:sp macro="" textlink="">
      <xdr:nvSpPr>
        <xdr:cNvPr id="5662" name="Rectangle 1"/>
        <xdr:cNvSpPr>
          <a:spLocks noChangeArrowheads="1"/>
        </xdr:cNvSpPr>
      </xdr:nvSpPr>
      <xdr:spPr bwMode="auto">
        <a:xfrm>
          <a:off x="0" y="9525"/>
          <a:ext cx="133350" cy="295275"/>
        </a:xfrm>
        <a:prstGeom prst="rect">
          <a:avLst/>
        </a:prstGeom>
        <a:solidFill>
          <a:srgbClr val="FF0000"/>
        </a:solidFill>
        <a:ln w="9525">
          <a:noFill/>
          <a:miter lim="800000"/>
          <a:headEnd/>
          <a:tailEnd/>
        </a:ln>
      </xdr:spPr>
    </xdr:sp>
    <xdr:clientData/>
  </xdr:twoCellAnchor>
  <xdr:twoCellAnchor>
    <xdr:from>
      <xdr:col>9</xdr:col>
      <xdr:colOff>1828800</xdr:colOff>
      <xdr:row>1</xdr:row>
      <xdr:rowOff>19050</xdr:rowOff>
    </xdr:from>
    <xdr:to>
      <xdr:col>9</xdr:col>
      <xdr:colOff>2066925</xdr:colOff>
      <xdr:row>2</xdr:row>
      <xdr:rowOff>28575</xdr:rowOff>
    </xdr:to>
    <xdr:sp macro="" textlink="">
      <xdr:nvSpPr>
        <xdr:cNvPr id="5123" name="Text Box 3"/>
        <xdr:cNvSpPr txBox="1">
          <a:spLocks noChangeArrowheads="1"/>
        </xdr:cNvSpPr>
      </xdr:nvSpPr>
      <xdr:spPr bwMode="auto">
        <a:xfrm>
          <a:off x="5172075" y="323850"/>
          <a:ext cx="238125" cy="17145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800" b="0" i="0" strike="noStrike">
              <a:solidFill>
                <a:srgbClr val="808080"/>
              </a:solidFill>
              <a:latin typeface="Arial Narrow"/>
            </a:rPr>
            <a:t>100</a:t>
          </a:r>
        </a:p>
      </xdr:txBody>
    </xdr:sp>
    <xdr:clientData/>
  </xdr:twoCellAnchor>
  <xdr:twoCellAnchor>
    <xdr:from>
      <xdr:col>8</xdr:col>
      <xdr:colOff>161925</xdr:colOff>
      <xdr:row>1</xdr:row>
      <xdr:rowOff>9525</xdr:rowOff>
    </xdr:from>
    <xdr:to>
      <xdr:col>9</xdr:col>
      <xdr:colOff>114300</xdr:colOff>
      <xdr:row>2</xdr:row>
      <xdr:rowOff>19050</xdr:rowOff>
    </xdr:to>
    <xdr:sp macro="" textlink="">
      <xdr:nvSpPr>
        <xdr:cNvPr id="5124" name="Text Box 4"/>
        <xdr:cNvSpPr txBox="1">
          <a:spLocks noChangeArrowheads="1"/>
        </xdr:cNvSpPr>
      </xdr:nvSpPr>
      <xdr:spPr bwMode="auto">
        <a:xfrm>
          <a:off x="3333750" y="314325"/>
          <a:ext cx="123825" cy="17145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800" b="0" i="0" strike="noStrike">
              <a:solidFill>
                <a:srgbClr val="808080"/>
              </a:solidFill>
              <a:latin typeface="Arial Narrow"/>
            </a:rPr>
            <a:t>0</a:t>
          </a:r>
        </a:p>
      </xdr:txBody>
    </xdr:sp>
    <xdr:clientData/>
  </xdr:twoCellAnchor>
  <xdr:twoCellAnchor>
    <xdr:from>
      <xdr:col>9</xdr:col>
      <xdr:colOff>28575</xdr:colOff>
      <xdr:row>1</xdr:row>
      <xdr:rowOff>152400</xdr:rowOff>
    </xdr:from>
    <xdr:to>
      <xdr:col>9</xdr:col>
      <xdr:colOff>1914525</xdr:colOff>
      <xdr:row>1</xdr:row>
      <xdr:rowOff>152400</xdr:rowOff>
    </xdr:to>
    <xdr:sp macro="" textlink="">
      <xdr:nvSpPr>
        <xdr:cNvPr id="5665" name="Line 5"/>
        <xdr:cNvSpPr>
          <a:spLocks noChangeShapeType="1"/>
        </xdr:cNvSpPr>
      </xdr:nvSpPr>
      <xdr:spPr bwMode="auto">
        <a:xfrm>
          <a:off x="3962400" y="457200"/>
          <a:ext cx="1885950" cy="0"/>
        </a:xfrm>
        <a:prstGeom prst="line">
          <a:avLst/>
        </a:prstGeom>
        <a:noFill/>
        <a:ln w="9525">
          <a:solidFill>
            <a:srgbClr val="808080"/>
          </a:solidFill>
          <a:round/>
          <a:headEnd/>
          <a:tailEnd/>
        </a:ln>
      </xdr:spPr>
    </xdr:sp>
    <xdr:clientData/>
  </xdr:twoCellAnchor>
  <xdr:twoCellAnchor>
    <xdr:from>
      <xdr:col>8</xdr:col>
      <xdr:colOff>0</xdr:colOff>
      <xdr:row>0</xdr:row>
      <xdr:rowOff>85725</xdr:rowOff>
    </xdr:from>
    <xdr:to>
      <xdr:col>9</xdr:col>
      <xdr:colOff>904875</xdr:colOff>
      <xdr:row>0</xdr:row>
      <xdr:rowOff>247650</xdr:rowOff>
    </xdr:to>
    <xdr:sp macro="" textlink="">
      <xdr:nvSpPr>
        <xdr:cNvPr id="5126" name="Text Box 6"/>
        <xdr:cNvSpPr txBox="1">
          <a:spLocks noChangeArrowheads="1"/>
        </xdr:cNvSpPr>
      </xdr:nvSpPr>
      <xdr:spPr bwMode="auto">
        <a:xfrm>
          <a:off x="3105150" y="85725"/>
          <a:ext cx="114300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strike="noStrike">
              <a:solidFill>
                <a:srgbClr val="333333"/>
              </a:solidFill>
              <a:latin typeface="Verdana"/>
            </a:rPr>
            <a:t>Select country:</a:t>
          </a:r>
        </a:p>
      </xdr:txBody>
    </xdr:sp>
    <xdr:clientData/>
  </xdr:twoCellAnchor>
  <xdr:twoCellAnchor>
    <xdr:from>
      <xdr:col>9</xdr:col>
      <xdr:colOff>2828925</xdr:colOff>
      <xdr:row>5</xdr:row>
      <xdr:rowOff>76200</xdr:rowOff>
    </xdr:from>
    <xdr:to>
      <xdr:col>9</xdr:col>
      <xdr:colOff>5457825</xdr:colOff>
      <xdr:row>6</xdr:row>
      <xdr:rowOff>85725</xdr:rowOff>
    </xdr:to>
    <xdr:sp macro="" textlink="">
      <xdr:nvSpPr>
        <xdr:cNvPr id="5127" name="Text Box 7"/>
        <xdr:cNvSpPr txBox="1">
          <a:spLocks noChangeArrowheads="1"/>
        </xdr:cNvSpPr>
      </xdr:nvSpPr>
      <xdr:spPr bwMode="auto">
        <a:xfrm>
          <a:off x="6172200" y="1028700"/>
          <a:ext cx="2628900" cy="171450"/>
        </a:xfrm>
        <a:prstGeom prst="rect">
          <a:avLst/>
        </a:prstGeom>
        <a:solidFill>
          <a:srgbClr val="FFFFFF">
            <a:alpha val="0"/>
          </a:srgbClr>
        </a:solidFill>
        <a:ln w="9525">
          <a:noFill/>
          <a:miter lim="800000"/>
          <a:headEnd/>
          <a:tailEnd/>
        </a:ln>
      </xdr:spPr>
      <xdr:txBody>
        <a:bodyPr vertOverflow="clip" wrap="square" lIns="0" tIns="18288" rIns="27432" bIns="0" anchor="t" upright="1"/>
        <a:lstStyle/>
        <a:p>
          <a:pPr algn="r" rtl="0">
            <a:defRPr sz="1000"/>
          </a:pPr>
          <a:r>
            <a:rPr lang="en-US" sz="900" b="0" i="0" strike="noStrike">
              <a:solidFill>
                <a:srgbClr val="003366"/>
              </a:solidFill>
              <a:latin typeface="Verdana"/>
            </a:rPr>
            <a:t>Double click an indicator to see full text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9525</xdr:rowOff>
    </xdr:from>
    <xdr:to>
      <xdr:col>0</xdr:col>
      <xdr:colOff>133350</xdr:colOff>
      <xdr:row>1</xdr:row>
      <xdr:rowOff>0</xdr:rowOff>
    </xdr:to>
    <xdr:sp macro="" textlink="">
      <xdr:nvSpPr>
        <xdr:cNvPr id="7354" name="Rectangle 1"/>
        <xdr:cNvSpPr>
          <a:spLocks noChangeArrowheads="1"/>
        </xdr:cNvSpPr>
      </xdr:nvSpPr>
      <xdr:spPr bwMode="auto">
        <a:xfrm>
          <a:off x="0" y="9525"/>
          <a:ext cx="133350" cy="257175"/>
        </a:xfrm>
        <a:prstGeom prst="rect">
          <a:avLst/>
        </a:prstGeom>
        <a:solidFill>
          <a:srgbClr val="FF0000"/>
        </a:solidFill>
        <a:ln w="9525">
          <a:noFill/>
          <a:miter lim="800000"/>
          <a:headEnd/>
          <a:tailEnd/>
        </a:ln>
      </xdr:spPr>
    </xdr:sp>
    <xdr:clientData/>
  </xdr:twoCellAnchor>
  <xdr:twoCellAnchor>
    <xdr:from>
      <xdr:col>10</xdr:col>
      <xdr:colOff>1114425</xdr:colOff>
      <xdr:row>0</xdr:row>
      <xdr:rowOff>47625</xdr:rowOff>
    </xdr:from>
    <xdr:to>
      <xdr:col>10</xdr:col>
      <xdr:colOff>609600</xdr:colOff>
      <xdr:row>0</xdr:row>
      <xdr:rowOff>219075</xdr:rowOff>
    </xdr:to>
    <xdr:sp macro="" textlink="">
      <xdr:nvSpPr>
        <xdr:cNvPr id="7171" name="Text Box 3"/>
        <xdr:cNvSpPr txBox="1">
          <a:spLocks noChangeArrowheads="1"/>
        </xdr:cNvSpPr>
      </xdr:nvSpPr>
      <xdr:spPr bwMode="auto">
        <a:xfrm>
          <a:off x="7705725" y="47625"/>
          <a:ext cx="0"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0" i="0" strike="noStrike">
              <a:solidFill>
                <a:srgbClr val="003366"/>
              </a:solidFill>
              <a:latin typeface="Verdana"/>
            </a:rPr>
            <a:t>Highlight country:</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9525</xdr:rowOff>
    </xdr:from>
    <xdr:to>
      <xdr:col>0</xdr:col>
      <xdr:colOff>133350</xdr:colOff>
      <xdr:row>1</xdr:row>
      <xdr:rowOff>0</xdr:rowOff>
    </xdr:to>
    <xdr:sp macro="" textlink="">
      <xdr:nvSpPr>
        <xdr:cNvPr id="2412" name="Rectangle 1"/>
        <xdr:cNvSpPr>
          <a:spLocks noChangeArrowheads="1"/>
        </xdr:cNvSpPr>
      </xdr:nvSpPr>
      <xdr:spPr bwMode="auto">
        <a:xfrm>
          <a:off x="0" y="9525"/>
          <a:ext cx="133350" cy="257175"/>
        </a:xfrm>
        <a:prstGeom prst="rect">
          <a:avLst/>
        </a:prstGeom>
        <a:solidFill>
          <a:srgbClr val="FF0000"/>
        </a:solidFill>
        <a:ln w="9525">
          <a:noFill/>
          <a:miter lim="800000"/>
          <a:headEnd/>
          <a:tailEnd/>
        </a:ln>
      </xdr:spPr>
    </xdr:sp>
    <xdr:clientData/>
  </xdr:twoCellAnchor>
  <xdr:twoCellAnchor>
    <xdr:from>
      <xdr:col>1</xdr:col>
      <xdr:colOff>76200</xdr:colOff>
      <xdr:row>1</xdr:row>
      <xdr:rowOff>85725</xdr:rowOff>
    </xdr:from>
    <xdr:to>
      <xdr:col>6</xdr:col>
      <xdr:colOff>9525</xdr:colOff>
      <xdr:row>1</xdr:row>
      <xdr:rowOff>542925</xdr:rowOff>
    </xdr:to>
    <xdr:sp macro="" textlink="">
      <xdr:nvSpPr>
        <xdr:cNvPr id="2052" name="Text Box 4"/>
        <xdr:cNvSpPr txBox="1">
          <a:spLocks noChangeArrowheads="1"/>
        </xdr:cNvSpPr>
      </xdr:nvSpPr>
      <xdr:spPr bwMode="auto">
        <a:xfrm>
          <a:off x="361950" y="352425"/>
          <a:ext cx="5505450" cy="457200"/>
        </a:xfrm>
        <a:prstGeom prst="rect">
          <a:avLst/>
        </a:prstGeom>
        <a:solidFill>
          <a:srgbClr val="FFFBF7"/>
        </a:solidFill>
        <a:ln w="9525">
          <a:solidFill>
            <a:srgbClr val="E8E8E8"/>
          </a:solidFill>
          <a:miter lim="800000"/>
          <a:headEnd/>
          <a:tailEnd/>
        </a:ln>
      </xdr:spPr>
      <xdr:txBody>
        <a:bodyPr vertOverflow="clip" wrap="square" lIns="72000" tIns="46800" rIns="72000" bIns="46800" anchor="t" upright="1"/>
        <a:lstStyle/>
        <a:p>
          <a:pPr algn="l" rtl="0">
            <a:defRPr sz="1000"/>
          </a:pPr>
          <a:r>
            <a:rPr lang="en-US" sz="800" b="0" i="0" strike="noStrike">
              <a:solidFill>
                <a:srgbClr val="000000"/>
              </a:solidFill>
              <a:latin typeface="Verdana"/>
            </a:rPr>
            <a:t>Change weights by editing numbers in the "Relative weight" column.  Set a weight of zero to completely remove the influence of any indicator/category.</a:t>
          </a:r>
        </a:p>
      </xdr:txBody>
    </xdr:sp>
    <xdr:clientData/>
  </xdr:twoCellAnchor>
  <xdr:twoCellAnchor>
    <xdr:from>
      <xdr:col>5</xdr:col>
      <xdr:colOff>209550</xdr:colOff>
      <xdr:row>1</xdr:row>
      <xdr:rowOff>619125</xdr:rowOff>
    </xdr:from>
    <xdr:to>
      <xdr:col>6</xdr:col>
      <xdr:colOff>0</xdr:colOff>
      <xdr:row>3</xdr:row>
      <xdr:rowOff>0</xdr:rowOff>
    </xdr:to>
    <xdr:sp macro="[0]!SaveWeightForm" textlink="">
      <xdr:nvSpPr>
        <xdr:cNvPr id="2054" name="Text Box 6"/>
        <xdr:cNvSpPr txBox="1">
          <a:spLocks noChangeArrowheads="1"/>
        </xdr:cNvSpPr>
      </xdr:nvSpPr>
      <xdr:spPr bwMode="auto">
        <a:xfrm>
          <a:off x="4981575" y="885825"/>
          <a:ext cx="876300" cy="190500"/>
        </a:xfrm>
        <a:prstGeom prst="rect">
          <a:avLst/>
        </a:prstGeom>
        <a:solidFill>
          <a:srgbClr val="E5EEF3"/>
        </a:solidFill>
        <a:ln w="9525">
          <a:solidFill>
            <a:srgbClr val="E8E8E8"/>
          </a:solid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Verdana"/>
            </a:rPr>
            <a:t>Save profile</a:t>
          </a:r>
        </a:p>
      </xdr:txBody>
    </xdr:sp>
    <xdr:clientData/>
  </xdr:twoCellAnchor>
  <xdr:twoCellAnchor>
    <xdr:from>
      <xdr:col>1</xdr:col>
      <xdr:colOff>1381125</xdr:colOff>
      <xdr:row>1</xdr:row>
      <xdr:rowOff>638175</xdr:rowOff>
    </xdr:from>
    <xdr:to>
      <xdr:col>1</xdr:col>
      <xdr:colOff>2905125</xdr:colOff>
      <xdr:row>3</xdr:row>
      <xdr:rowOff>28575</xdr:rowOff>
    </xdr:to>
    <xdr:sp macro="" textlink="">
      <xdr:nvSpPr>
        <xdr:cNvPr id="2055" name="Text Box 7"/>
        <xdr:cNvSpPr txBox="1">
          <a:spLocks noChangeArrowheads="1"/>
        </xdr:cNvSpPr>
      </xdr:nvSpPr>
      <xdr:spPr bwMode="auto">
        <a:xfrm>
          <a:off x="1666875" y="904875"/>
          <a:ext cx="1524000" cy="200025"/>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en-US" sz="900" b="0" i="0" strike="noStrike">
              <a:solidFill>
                <a:srgbClr val="003366"/>
              </a:solidFill>
              <a:latin typeface="Verdana"/>
            </a:rPr>
            <a:t>Select weighting profile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9525</xdr:rowOff>
    </xdr:from>
    <xdr:to>
      <xdr:col>0</xdr:col>
      <xdr:colOff>133350</xdr:colOff>
      <xdr:row>1</xdr:row>
      <xdr:rowOff>0</xdr:rowOff>
    </xdr:to>
    <xdr:sp macro="" textlink="">
      <xdr:nvSpPr>
        <xdr:cNvPr id="42241" name="Rectangle 1"/>
        <xdr:cNvSpPr>
          <a:spLocks noChangeArrowheads="1"/>
        </xdr:cNvSpPr>
      </xdr:nvSpPr>
      <xdr:spPr bwMode="auto">
        <a:xfrm>
          <a:off x="0" y="9525"/>
          <a:ext cx="133350" cy="257175"/>
        </a:xfrm>
        <a:prstGeom prst="rect">
          <a:avLst/>
        </a:prstGeom>
        <a:solidFill>
          <a:srgbClr val="FF0000"/>
        </a:solidFill>
        <a:ln w="9525">
          <a:noFill/>
          <a:miter lim="800000"/>
          <a:headEnd/>
          <a:tailEnd/>
        </a:ln>
      </xdr:spPr>
    </xdr:sp>
    <xdr:clientData/>
  </xdr:twoCellAnchor>
  <xdr:twoCellAnchor>
    <xdr:from>
      <xdr:col>3</xdr:col>
      <xdr:colOff>47625</xdr:colOff>
      <xdr:row>16</xdr:row>
      <xdr:rowOff>38100</xdr:rowOff>
    </xdr:from>
    <xdr:to>
      <xdr:col>3</xdr:col>
      <xdr:colOff>47625</xdr:colOff>
      <xdr:row>21</xdr:row>
      <xdr:rowOff>133350</xdr:rowOff>
    </xdr:to>
    <xdr:sp macro="" textlink="">
      <xdr:nvSpPr>
        <xdr:cNvPr id="42242" name="Line 4"/>
        <xdr:cNvSpPr>
          <a:spLocks noChangeShapeType="1"/>
        </xdr:cNvSpPr>
      </xdr:nvSpPr>
      <xdr:spPr bwMode="auto">
        <a:xfrm>
          <a:off x="333375" y="3152775"/>
          <a:ext cx="0" cy="904875"/>
        </a:xfrm>
        <a:prstGeom prst="line">
          <a:avLst/>
        </a:prstGeom>
        <a:noFill/>
        <a:ln w="9525">
          <a:solidFill>
            <a:srgbClr val="993366"/>
          </a:solidFill>
          <a:round/>
          <a:headEnd/>
          <a:tailEnd/>
        </a:ln>
      </xdr:spPr>
    </xdr:sp>
    <xdr:clientData/>
  </xdr:twoCellAnchor>
  <xdr:twoCellAnchor>
    <xdr:from>
      <xdr:col>3</xdr:col>
      <xdr:colOff>47625</xdr:colOff>
      <xdr:row>24</xdr:row>
      <xdr:rowOff>47625</xdr:rowOff>
    </xdr:from>
    <xdr:to>
      <xdr:col>3</xdr:col>
      <xdr:colOff>47625</xdr:colOff>
      <xdr:row>26</xdr:row>
      <xdr:rowOff>152400</xdr:rowOff>
    </xdr:to>
    <xdr:sp macro="" textlink="">
      <xdr:nvSpPr>
        <xdr:cNvPr id="42243" name="Line 5"/>
        <xdr:cNvSpPr>
          <a:spLocks noChangeShapeType="1"/>
        </xdr:cNvSpPr>
      </xdr:nvSpPr>
      <xdr:spPr bwMode="auto">
        <a:xfrm flipH="1">
          <a:off x="333375" y="4476750"/>
          <a:ext cx="0" cy="428625"/>
        </a:xfrm>
        <a:prstGeom prst="line">
          <a:avLst/>
        </a:prstGeom>
        <a:noFill/>
        <a:ln w="9525">
          <a:solidFill>
            <a:srgbClr val="993366"/>
          </a:solidFill>
          <a:round/>
          <a:headEnd/>
          <a:tailEnd/>
        </a:ln>
      </xdr:spPr>
    </xdr:sp>
    <xdr:clientData/>
  </xdr:twoCellAnchor>
  <xdr:twoCellAnchor>
    <xdr:from>
      <xdr:col>3</xdr:col>
      <xdr:colOff>47625</xdr:colOff>
      <xdr:row>10</xdr:row>
      <xdr:rowOff>57150</xdr:rowOff>
    </xdr:from>
    <xdr:to>
      <xdr:col>3</xdr:col>
      <xdr:colOff>47625</xdr:colOff>
      <xdr:row>13</xdr:row>
      <xdr:rowOff>133350</xdr:rowOff>
    </xdr:to>
    <xdr:sp macro="" textlink="">
      <xdr:nvSpPr>
        <xdr:cNvPr id="42244" name="Line 6"/>
        <xdr:cNvSpPr>
          <a:spLocks noChangeShapeType="1"/>
        </xdr:cNvSpPr>
      </xdr:nvSpPr>
      <xdr:spPr bwMode="auto">
        <a:xfrm flipH="1">
          <a:off x="333375" y="2181225"/>
          <a:ext cx="0" cy="561975"/>
        </a:xfrm>
        <a:prstGeom prst="line">
          <a:avLst/>
        </a:prstGeom>
        <a:noFill/>
        <a:ln w="9525">
          <a:solidFill>
            <a:srgbClr val="993366"/>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9525</xdr:rowOff>
    </xdr:from>
    <xdr:to>
      <xdr:col>0</xdr:col>
      <xdr:colOff>133350</xdr:colOff>
      <xdr:row>1</xdr:row>
      <xdr:rowOff>0</xdr:rowOff>
    </xdr:to>
    <xdr:sp macro="" textlink="">
      <xdr:nvSpPr>
        <xdr:cNvPr id="3435" name="Rectangle 1"/>
        <xdr:cNvSpPr>
          <a:spLocks noChangeArrowheads="1"/>
        </xdr:cNvSpPr>
      </xdr:nvSpPr>
      <xdr:spPr bwMode="auto">
        <a:xfrm>
          <a:off x="0" y="9525"/>
          <a:ext cx="133350" cy="257175"/>
        </a:xfrm>
        <a:prstGeom prst="rect">
          <a:avLst/>
        </a:prstGeom>
        <a:solidFill>
          <a:srgbClr val="FF0000"/>
        </a:solidFill>
        <a:ln w="9525">
          <a:noFill/>
          <a:miter lim="800000"/>
          <a:headEnd/>
          <a:tailEnd/>
        </a:ln>
      </xdr:spPr>
    </xdr:sp>
    <xdr:clientData/>
  </xdr:twoCellAnchor>
  <xdr:twoCellAnchor>
    <xdr:from>
      <xdr:col>3</xdr:col>
      <xdr:colOff>47625</xdr:colOff>
      <xdr:row>16</xdr:row>
      <xdr:rowOff>38100</xdr:rowOff>
    </xdr:from>
    <xdr:to>
      <xdr:col>3</xdr:col>
      <xdr:colOff>47625</xdr:colOff>
      <xdr:row>21</xdr:row>
      <xdr:rowOff>133350</xdr:rowOff>
    </xdr:to>
    <xdr:sp macro="" textlink="">
      <xdr:nvSpPr>
        <xdr:cNvPr id="3436" name="Line 4"/>
        <xdr:cNvSpPr>
          <a:spLocks noChangeShapeType="1"/>
        </xdr:cNvSpPr>
      </xdr:nvSpPr>
      <xdr:spPr bwMode="auto">
        <a:xfrm>
          <a:off x="333375" y="3152775"/>
          <a:ext cx="0" cy="904875"/>
        </a:xfrm>
        <a:prstGeom prst="line">
          <a:avLst/>
        </a:prstGeom>
        <a:noFill/>
        <a:ln w="9525">
          <a:solidFill>
            <a:srgbClr val="993366"/>
          </a:solidFill>
          <a:round/>
          <a:headEnd/>
          <a:tailEnd/>
        </a:ln>
      </xdr:spPr>
    </xdr:sp>
    <xdr:clientData/>
  </xdr:twoCellAnchor>
  <xdr:twoCellAnchor>
    <xdr:from>
      <xdr:col>3</xdr:col>
      <xdr:colOff>47625</xdr:colOff>
      <xdr:row>24</xdr:row>
      <xdr:rowOff>47625</xdr:rowOff>
    </xdr:from>
    <xdr:to>
      <xdr:col>3</xdr:col>
      <xdr:colOff>47625</xdr:colOff>
      <xdr:row>26</xdr:row>
      <xdr:rowOff>152400</xdr:rowOff>
    </xdr:to>
    <xdr:sp macro="" textlink="">
      <xdr:nvSpPr>
        <xdr:cNvPr id="3437" name="Line 5"/>
        <xdr:cNvSpPr>
          <a:spLocks noChangeShapeType="1"/>
        </xdr:cNvSpPr>
      </xdr:nvSpPr>
      <xdr:spPr bwMode="auto">
        <a:xfrm flipH="1">
          <a:off x="333375" y="4476750"/>
          <a:ext cx="0" cy="428625"/>
        </a:xfrm>
        <a:prstGeom prst="line">
          <a:avLst/>
        </a:prstGeom>
        <a:noFill/>
        <a:ln w="9525">
          <a:solidFill>
            <a:srgbClr val="993366"/>
          </a:solidFill>
          <a:round/>
          <a:headEnd/>
          <a:tailEnd/>
        </a:ln>
      </xdr:spPr>
    </xdr:sp>
    <xdr:clientData/>
  </xdr:twoCellAnchor>
  <xdr:twoCellAnchor>
    <xdr:from>
      <xdr:col>3</xdr:col>
      <xdr:colOff>47625</xdr:colOff>
      <xdr:row>10</xdr:row>
      <xdr:rowOff>57150</xdr:rowOff>
    </xdr:from>
    <xdr:to>
      <xdr:col>3</xdr:col>
      <xdr:colOff>47625</xdr:colOff>
      <xdr:row>13</xdr:row>
      <xdr:rowOff>133350</xdr:rowOff>
    </xdr:to>
    <xdr:sp macro="" textlink="">
      <xdr:nvSpPr>
        <xdr:cNvPr id="3438" name="Line 6"/>
        <xdr:cNvSpPr>
          <a:spLocks noChangeShapeType="1"/>
        </xdr:cNvSpPr>
      </xdr:nvSpPr>
      <xdr:spPr bwMode="auto">
        <a:xfrm flipH="1">
          <a:off x="333375" y="2181225"/>
          <a:ext cx="0" cy="561975"/>
        </a:xfrm>
        <a:prstGeom prst="line">
          <a:avLst/>
        </a:prstGeom>
        <a:noFill/>
        <a:ln w="9525">
          <a:solidFill>
            <a:srgbClr val="993366"/>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0</xdr:col>
      <xdr:colOff>133350</xdr:colOff>
      <xdr:row>1</xdr:row>
      <xdr:rowOff>0</xdr:rowOff>
    </xdr:to>
    <xdr:sp macro="" textlink="">
      <xdr:nvSpPr>
        <xdr:cNvPr id="1301" name="Rectangle 1"/>
        <xdr:cNvSpPr>
          <a:spLocks noChangeArrowheads="1"/>
        </xdr:cNvSpPr>
      </xdr:nvSpPr>
      <xdr:spPr bwMode="auto">
        <a:xfrm>
          <a:off x="0" y="9525"/>
          <a:ext cx="133350" cy="257175"/>
        </a:xfrm>
        <a:prstGeom prst="rect">
          <a:avLst/>
        </a:prstGeom>
        <a:solidFill>
          <a:srgbClr val="FF0000"/>
        </a:solidFill>
        <a:ln w="9525">
          <a:noFill/>
          <a:miter lim="800000"/>
          <a:headEnd/>
          <a:tailEnd/>
        </a:ln>
      </xdr:spPr>
    </xdr:sp>
    <xdr:clientData/>
  </xdr:twoCellAnchor>
  <xdr:twoCellAnchor>
    <xdr:from>
      <xdr:col>12</xdr:col>
      <xdr:colOff>438150</xdr:colOff>
      <xdr:row>0</xdr:row>
      <xdr:rowOff>57150</xdr:rowOff>
    </xdr:from>
    <xdr:to>
      <xdr:col>15</xdr:col>
      <xdr:colOff>285750</xdr:colOff>
      <xdr:row>0</xdr:row>
      <xdr:rowOff>219075</xdr:rowOff>
    </xdr:to>
    <xdr:sp macro="" textlink="">
      <xdr:nvSpPr>
        <xdr:cNvPr id="1027" name="Text Box 3"/>
        <xdr:cNvSpPr txBox="1">
          <a:spLocks noChangeArrowheads="1"/>
        </xdr:cNvSpPr>
      </xdr:nvSpPr>
      <xdr:spPr bwMode="auto">
        <a:xfrm>
          <a:off x="6677025" y="57150"/>
          <a:ext cx="114300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0" i="0" strike="noStrike">
              <a:solidFill>
                <a:srgbClr val="333333"/>
              </a:solidFill>
              <a:latin typeface="Verdana"/>
            </a:rPr>
            <a:t>Highlight country:</a:t>
          </a:r>
        </a:p>
      </xdr:txBody>
    </xdr:sp>
    <xdr:clientData/>
  </xdr:twoCellAnchor>
  <xdr:twoCellAnchor>
    <xdr:from>
      <xdr:col>1</xdr:col>
      <xdr:colOff>304800</xdr:colOff>
      <xdr:row>24</xdr:row>
      <xdr:rowOff>47625</xdr:rowOff>
    </xdr:from>
    <xdr:to>
      <xdr:col>5</xdr:col>
      <xdr:colOff>476250</xdr:colOff>
      <xdr:row>25</xdr:row>
      <xdr:rowOff>123825</xdr:rowOff>
    </xdr:to>
    <xdr:sp macro="" textlink="">
      <xdr:nvSpPr>
        <xdr:cNvPr id="1032" name="Text Box 8"/>
        <xdr:cNvSpPr txBox="1">
          <a:spLocks noChangeArrowheads="1"/>
        </xdr:cNvSpPr>
      </xdr:nvSpPr>
      <xdr:spPr bwMode="auto">
        <a:xfrm>
          <a:off x="447675" y="5534025"/>
          <a:ext cx="2324100" cy="238125"/>
        </a:xfrm>
        <a:prstGeom prst="rect">
          <a:avLst/>
        </a:prstGeom>
        <a:solidFill>
          <a:srgbClr val="E5EEF3"/>
        </a:solidFill>
        <a:ln w="9525">
          <a:noFill/>
          <a:miter lim="800000"/>
          <a:headEnd/>
          <a:tailEnd/>
        </a:ln>
      </xdr:spPr>
      <xdr:txBody>
        <a:bodyPr vertOverflow="clip" wrap="square" lIns="90000" tIns="36000" rIns="90000" bIns="46800" anchor="t" upright="1"/>
        <a:lstStyle/>
        <a:p>
          <a:pPr algn="l" rtl="0">
            <a:defRPr sz="1000"/>
          </a:pPr>
          <a:r>
            <a:rPr lang="en-US" sz="1000" b="0" i="0" strike="noStrike">
              <a:solidFill>
                <a:srgbClr val="808080"/>
              </a:solidFill>
              <a:latin typeface="Verdana"/>
            </a:rPr>
            <a:t>All scored 0-100 where 100=best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9525</xdr:rowOff>
    </xdr:from>
    <xdr:to>
      <xdr:col>0</xdr:col>
      <xdr:colOff>133350</xdr:colOff>
      <xdr:row>1</xdr:row>
      <xdr:rowOff>0</xdr:rowOff>
    </xdr:to>
    <xdr:sp macro="" textlink="">
      <xdr:nvSpPr>
        <xdr:cNvPr id="87117" name="Rectangle 1"/>
        <xdr:cNvSpPr>
          <a:spLocks noChangeArrowheads="1"/>
        </xdr:cNvSpPr>
      </xdr:nvSpPr>
      <xdr:spPr bwMode="auto">
        <a:xfrm>
          <a:off x="0" y="9525"/>
          <a:ext cx="133350" cy="257175"/>
        </a:xfrm>
        <a:prstGeom prst="rect">
          <a:avLst/>
        </a:prstGeom>
        <a:solidFill>
          <a:srgbClr val="FF0000"/>
        </a:solidFill>
        <a:ln w="9525">
          <a:noFill/>
          <a:miter lim="800000"/>
          <a:headEnd/>
          <a:tailEnd/>
        </a:ln>
      </xdr:spPr>
    </xdr:sp>
    <xdr:clientData/>
  </xdr:twoCellAnchor>
  <xdr:twoCellAnchor>
    <xdr:from>
      <xdr:col>11</xdr:col>
      <xdr:colOff>497680</xdr:colOff>
      <xdr:row>0</xdr:row>
      <xdr:rowOff>42862</xdr:rowOff>
    </xdr:from>
    <xdr:to>
      <xdr:col>12</xdr:col>
      <xdr:colOff>595312</xdr:colOff>
      <xdr:row>0</xdr:row>
      <xdr:rowOff>214313</xdr:rowOff>
    </xdr:to>
    <xdr:sp macro="" textlink="">
      <xdr:nvSpPr>
        <xdr:cNvPr id="3" name="Text Box 3"/>
        <xdr:cNvSpPr txBox="1">
          <a:spLocks noChangeArrowheads="1"/>
        </xdr:cNvSpPr>
      </xdr:nvSpPr>
      <xdr:spPr bwMode="auto">
        <a:xfrm>
          <a:off x="4288630" y="42862"/>
          <a:ext cx="1164432" cy="17145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0" i="0" strike="noStrike">
              <a:solidFill>
                <a:srgbClr val="333333"/>
              </a:solidFill>
              <a:latin typeface="Verdana"/>
            </a:rPr>
            <a:t>Highlight country:</a:t>
          </a:r>
        </a:p>
      </xdr:txBody>
    </xdr:sp>
    <xdr:clientData/>
  </xdr:twoCellAnchor>
  <xdr:twoCellAnchor>
    <xdr:from>
      <xdr:col>2</xdr:col>
      <xdr:colOff>2381</xdr:colOff>
      <xdr:row>24</xdr:row>
      <xdr:rowOff>38100</xdr:rowOff>
    </xdr:from>
    <xdr:to>
      <xdr:col>10</xdr:col>
      <xdr:colOff>0</xdr:colOff>
      <xdr:row>25</xdr:row>
      <xdr:rowOff>114300</xdr:rowOff>
    </xdr:to>
    <xdr:sp macro="" textlink="">
      <xdr:nvSpPr>
        <xdr:cNvPr id="4" name="Text Box 8"/>
        <xdr:cNvSpPr txBox="1">
          <a:spLocks noChangeArrowheads="1"/>
        </xdr:cNvSpPr>
      </xdr:nvSpPr>
      <xdr:spPr bwMode="auto">
        <a:xfrm>
          <a:off x="304800" y="5610225"/>
          <a:ext cx="3033713" cy="238125"/>
        </a:xfrm>
        <a:prstGeom prst="rect">
          <a:avLst/>
        </a:prstGeom>
        <a:solidFill>
          <a:srgbClr val="E5EEF3"/>
        </a:solidFill>
        <a:ln w="9525">
          <a:noFill/>
          <a:miter lim="800000"/>
          <a:headEnd/>
          <a:tailEnd/>
        </a:ln>
      </xdr:spPr>
      <xdr:txBody>
        <a:bodyPr vertOverflow="clip" wrap="square" lIns="90000" tIns="36000" rIns="90000" bIns="46800" anchor="t" upright="1"/>
        <a:lstStyle/>
        <a:p>
          <a:pPr algn="l" rtl="0">
            <a:defRPr sz="1000"/>
          </a:pPr>
          <a:r>
            <a:rPr lang="en-US" sz="1000" b="0" i="0" strike="noStrike">
              <a:solidFill>
                <a:srgbClr val="808080"/>
              </a:solidFill>
              <a:latin typeface="Verdana"/>
            </a:rPr>
            <a:t>All scored 0-100 where 100=best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9525</xdr:rowOff>
    </xdr:from>
    <xdr:to>
      <xdr:col>0</xdr:col>
      <xdr:colOff>133350</xdr:colOff>
      <xdr:row>1</xdr:row>
      <xdr:rowOff>0</xdr:rowOff>
    </xdr:to>
    <xdr:sp macro="" textlink="">
      <xdr:nvSpPr>
        <xdr:cNvPr id="85072" name="Rectangle 1"/>
        <xdr:cNvSpPr>
          <a:spLocks noChangeArrowheads="1"/>
        </xdr:cNvSpPr>
      </xdr:nvSpPr>
      <xdr:spPr bwMode="auto">
        <a:xfrm>
          <a:off x="0" y="9525"/>
          <a:ext cx="133350" cy="257175"/>
        </a:xfrm>
        <a:prstGeom prst="rect">
          <a:avLst/>
        </a:prstGeom>
        <a:solidFill>
          <a:srgbClr val="FF0000"/>
        </a:solidFill>
        <a:ln w="9525">
          <a:noFill/>
          <a:miter lim="800000"/>
          <a:headEnd/>
          <a:tailEnd/>
        </a:ln>
      </xdr:spPr>
    </xdr:sp>
    <xdr:clientData/>
  </xdr:twoCellAnchor>
  <xdr:twoCellAnchor>
    <xdr:from>
      <xdr:col>17</xdr:col>
      <xdr:colOff>497680</xdr:colOff>
      <xdr:row>0</xdr:row>
      <xdr:rowOff>42862</xdr:rowOff>
    </xdr:from>
    <xdr:to>
      <xdr:col>18</xdr:col>
      <xdr:colOff>595312</xdr:colOff>
      <xdr:row>0</xdr:row>
      <xdr:rowOff>214313</xdr:rowOff>
    </xdr:to>
    <xdr:sp macro="" textlink="">
      <xdr:nvSpPr>
        <xdr:cNvPr id="3" name="Text Box 3"/>
        <xdr:cNvSpPr txBox="1">
          <a:spLocks noChangeArrowheads="1"/>
        </xdr:cNvSpPr>
      </xdr:nvSpPr>
      <xdr:spPr bwMode="auto">
        <a:xfrm>
          <a:off x="4288630" y="42862"/>
          <a:ext cx="1164432" cy="17145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0" i="0" strike="noStrike">
              <a:solidFill>
                <a:srgbClr val="333333"/>
              </a:solidFill>
              <a:latin typeface="Verdana"/>
            </a:rPr>
            <a:t>Highlight country:</a:t>
          </a:r>
        </a:p>
      </xdr:txBody>
    </xdr:sp>
    <xdr:clientData/>
  </xdr:twoCellAnchor>
  <xdr:twoCellAnchor>
    <xdr:from>
      <xdr:col>2</xdr:col>
      <xdr:colOff>2381</xdr:colOff>
      <xdr:row>20</xdr:row>
      <xdr:rowOff>38100</xdr:rowOff>
    </xdr:from>
    <xdr:to>
      <xdr:col>13</xdr:col>
      <xdr:colOff>52388</xdr:colOff>
      <xdr:row>21</xdr:row>
      <xdr:rowOff>114300</xdr:rowOff>
    </xdr:to>
    <xdr:sp macro="" textlink="">
      <xdr:nvSpPr>
        <xdr:cNvPr id="4" name="Text Box 8"/>
        <xdr:cNvSpPr txBox="1">
          <a:spLocks noChangeArrowheads="1"/>
        </xdr:cNvSpPr>
      </xdr:nvSpPr>
      <xdr:spPr bwMode="auto">
        <a:xfrm>
          <a:off x="304800" y="5610225"/>
          <a:ext cx="3033713" cy="238125"/>
        </a:xfrm>
        <a:prstGeom prst="rect">
          <a:avLst/>
        </a:prstGeom>
        <a:solidFill>
          <a:srgbClr val="E5EEF3"/>
        </a:solidFill>
        <a:ln w="9525">
          <a:noFill/>
          <a:miter lim="800000"/>
          <a:headEnd/>
          <a:tailEnd/>
        </a:ln>
      </xdr:spPr>
      <xdr:txBody>
        <a:bodyPr vertOverflow="clip" wrap="square" lIns="90000" tIns="36000" rIns="90000" bIns="46800" anchor="t" upright="1"/>
        <a:lstStyle/>
        <a:p>
          <a:pPr algn="l" rtl="0">
            <a:defRPr sz="1000"/>
          </a:pPr>
          <a:r>
            <a:rPr lang="en-US" sz="1000" b="0" i="0" strike="noStrike">
              <a:solidFill>
                <a:srgbClr val="808080"/>
              </a:solidFill>
              <a:latin typeface="Verdana"/>
            </a:rPr>
            <a:t>All scored 0-100 where 100=best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552450</xdr:colOff>
      <xdr:row>1</xdr:row>
      <xdr:rowOff>47625</xdr:rowOff>
    </xdr:from>
    <xdr:to>
      <xdr:col>10</xdr:col>
      <xdr:colOff>1076325</xdr:colOff>
      <xdr:row>1</xdr:row>
      <xdr:rowOff>323850</xdr:rowOff>
    </xdr:to>
    <xdr:pic>
      <xdr:nvPicPr>
        <xdr:cNvPr id="6962" name="Picture 2" descr="just_eiu_logo"/>
        <xdr:cNvPicPr>
          <a:picLocks noChangeAspect="1" noChangeArrowheads="1"/>
        </xdr:cNvPicPr>
      </xdr:nvPicPr>
      <xdr:blipFill>
        <a:blip xmlns:r="http://schemas.openxmlformats.org/officeDocument/2006/relationships" r:embed="rId1" cstate="print"/>
        <a:srcRect/>
        <a:stretch>
          <a:fillRect/>
        </a:stretch>
      </xdr:blipFill>
      <xdr:spPr bwMode="auto">
        <a:xfrm>
          <a:off x="4591050" y="133350"/>
          <a:ext cx="2352675" cy="276225"/>
        </a:xfrm>
        <a:prstGeom prst="rect">
          <a:avLst/>
        </a:prstGeom>
        <a:noFill/>
        <a:ln w="9525">
          <a:noFill/>
          <a:miter lim="800000"/>
          <a:headEnd/>
          <a:tailEnd/>
        </a:ln>
      </xdr:spPr>
    </xdr:pic>
    <xdr:clientData/>
  </xdr:twoCellAnchor>
  <xdr:twoCellAnchor>
    <xdr:from>
      <xdr:col>2</xdr:col>
      <xdr:colOff>190500</xdr:colOff>
      <xdr:row>2</xdr:row>
      <xdr:rowOff>142875</xdr:rowOff>
    </xdr:from>
    <xdr:to>
      <xdr:col>9</xdr:col>
      <xdr:colOff>561975</xdr:colOff>
      <xdr:row>6</xdr:row>
      <xdr:rowOff>133350</xdr:rowOff>
    </xdr:to>
    <xdr:sp macro="" textlink="">
      <xdr:nvSpPr>
        <xdr:cNvPr id="6963" name="Text Box 3"/>
        <xdr:cNvSpPr txBox="1">
          <a:spLocks noChangeArrowheads="1"/>
        </xdr:cNvSpPr>
      </xdr:nvSpPr>
      <xdr:spPr bwMode="auto">
        <a:xfrm>
          <a:off x="1181100" y="581025"/>
          <a:ext cx="4638675" cy="638175"/>
        </a:xfrm>
        <a:prstGeom prst="rect">
          <a:avLst/>
        </a:prstGeom>
        <a:solidFill>
          <a:srgbClr val="FFFFFF"/>
        </a:solidFill>
        <a:ln w="9525">
          <a:noFill/>
          <a:miter lim="800000"/>
          <a:headEnd/>
          <a:tailEnd/>
        </a:ln>
      </xdr:spPr>
      <xdr:txBody>
        <a:bodyPr vertOverflow="clip" wrap="square" lIns="45720" tIns="27432" rIns="45720" bIns="0" anchor="t" upright="1"/>
        <a:lstStyle/>
        <a:p>
          <a:pPr algn="ctr" rtl="0">
            <a:defRPr sz="1000"/>
          </a:pPr>
          <a:r>
            <a:rPr lang="en-US" sz="1200" b="1" i="0" u="none" strike="noStrike" baseline="0">
              <a:solidFill>
                <a:srgbClr val="000000"/>
              </a:solidFill>
              <a:latin typeface="Verdana"/>
            </a:rPr>
            <a:t>Microscope on the Microfinance Business Environment</a:t>
          </a:r>
        </a:p>
        <a:p>
          <a:pPr algn="ctr" rtl="0">
            <a:defRPr sz="1000"/>
          </a:pPr>
          <a:r>
            <a:rPr lang="en-US" sz="1200" b="1" i="0" u="none" strike="noStrike" baseline="0">
              <a:solidFill>
                <a:srgbClr val="000000"/>
              </a:solidFill>
              <a:latin typeface="Verdana"/>
            </a:rPr>
            <a:t>in Latin America and the Caribbean 2008</a:t>
          </a:r>
        </a:p>
      </xdr:txBody>
    </xdr:sp>
    <xdr:clientData/>
  </xdr:twoCellAnchor>
  <xdr:twoCellAnchor>
    <xdr:from>
      <xdr:col>9</xdr:col>
      <xdr:colOff>485775</xdr:colOff>
      <xdr:row>28</xdr:row>
      <xdr:rowOff>85725</xdr:rowOff>
    </xdr:from>
    <xdr:to>
      <xdr:col>11</xdr:col>
      <xdr:colOff>38100</xdr:colOff>
      <xdr:row>30</xdr:row>
      <xdr:rowOff>142875</xdr:rowOff>
    </xdr:to>
    <xdr:grpSp>
      <xdr:nvGrpSpPr>
        <xdr:cNvPr id="6964" name="Group 4">
          <a:hlinkClick xmlns:r="http://schemas.openxmlformats.org/officeDocument/2006/relationships" r:id="rId2" tooltip="Excel workbook by F1 Research.  Click to visit website."/>
        </xdr:cNvPr>
        <xdr:cNvGrpSpPr>
          <a:grpSpLocks/>
        </xdr:cNvGrpSpPr>
      </xdr:nvGrpSpPr>
      <xdr:grpSpPr bwMode="auto">
        <a:xfrm>
          <a:off x="5743575" y="4772025"/>
          <a:ext cx="1285875" cy="381000"/>
          <a:chOff x="10" y="411"/>
          <a:chExt cx="135" cy="40"/>
        </a:xfrm>
      </xdr:grpSpPr>
      <xdr:sp macro="" textlink="">
        <xdr:nvSpPr>
          <xdr:cNvPr id="6969" name="Text Box 5"/>
          <xdr:cNvSpPr txBox="1">
            <a:spLocks noChangeArrowheads="1"/>
          </xdr:cNvSpPr>
        </xdr:nvSpPr>
        <xdr:spPr bwMode="auto">
          <a:xfrm>
            <a:off x="10" y="438"/>
            <a:ext cx="135" cy="13"/>
          </a:xfrm>
          <a:prstGeom prst="rect">
            <a:avLst/>
          </a:prstGeom>
          <a:solidFill>
            <a:srgbClr val="FFFFFF"/>
          </a:solidFill>
          <a:ln w="9525">
            <a:noFill/>
            <a:miter lim="800000"/>
            <a:headEnd/>
            <a:tailEnd/>
          </a:ln>
        </xdr:spPr>
      </xdr:sp>
      <xdr:pic>
        <xdr:nvPicPr>
          <xdr:cNvPr id="6970" name="Picture 6" descr="F1_LOGO_TRANS"/>
          <xdr:cNvPicPr>
            <a:picLocks noChangeAspect="1" noChangeArrowheads="1"/>
          </xdr:cNvPicPr>
        </xdr:nvPicPr>
        <xdr:blipFill>
          <a:blip xmlns:r="http://schemas.openxmlformats.org/officeDocument/2006/relationships" r:embed="rId3" cstate="print"/>
          <a:srcRect/>
          <a:stretch>
            <a:fillRect/>
          </a:stretch>
        </xdr:blipFill>
        <xdr:spPr bwMode="auto">
          <a:xfrm>
            <a:off x="11" y="411"/>
            <a:ext cx="133" cy="40"/>
          </a:xfrm>
          <a:prstGeom prst="rect">
            <a:avLst/>
          </a:prstGeom>
          <a:noFill/>
          <a:ln w="9525">
            <a:noFill/>
            <a:miter lim="800000"/>
            <a:headEnd/>
            <a:tailEnd/>
          </a:ln>
        </xdr:spPr>
      </xdr:pic>
    </xdr:grpSp>
    <xdr:clientData/>
  </xdr:twoCellAnchor>
  <xdr:twoCellAnchor>
    <xdr:from>
      <xdr:col>0</xdr:col>
      <xdr:colOff>57150</xdr:colOff>
      <xdr:row>6</xdr:row>
      <xdr:rowOff>123825</xdr:rowOff>
    </xdr:from>
    <xdr:to>
      <xdr:col>11</xdr:col>
      <xdr:colOff>0</xdr:colOff>
      <xdr:row>26</xdr:row>
      <xdr:rowOff>28575</xdr:rowOff>
    </xdr:to>
    <xdr:sp macro="" textlink="">
      <xdr:nvSpPr>
        <xdr:cNvPr id="6965" name="Text Box 8"/>
        <xdr:cNvSpPr txBox="1">
          <a:spLocks noChangeArrowheads="1"/>
        </xdr:cNvSpPr>
      </xdr:nvSpPr>
      <xdr:spPr bwMode="auto">
        <a:xfrm>
          <a:off x="57150" y="1209675"/>
          <a:ext cx="6934200" cy="3181350"/>
        </a:xfrm>
        <a:prstGeom prst="rect">
          <a:avLst/>
        </a:prstGeom>
        <a:solidFill>
          <a:srgbClr val="E5EEF3"/>
        </a:solidFill>
        <a:ln w="9525">
          <a:solidFill>
            <a:srgbClr val="E8E8E8"/>
          </a:solidFill>
          <a:miter lim="800000"/>
          <a:headEnd/>
          <a:tailEnd/>
        </a:ln>
      </xdr:spPr>
      <xdr:txBody>
        <a:bodyPr vertOverflow="clip" wrap="square" lIns="252000" tIns="46800" rIns="252000" bIns="118800" anchor="t" upright="1"/>
        <a:lstStyle/>
        <a:p>
          <a:pPr algn="l" rtl="0">
            <a:defRPr sz="1000"/>
          </a:pPr>
          <a:r>
            <a:rPr lang="en-US" sz="1000" b="0" i="0" u="none" strike="noStrike" baseline="0">
              <a:solidFill>
                <a:srgbClr val="333333"/>
              </a:solidFill>
              <a:latin typeface="Verdana"/>
            </a:rPr>
            <a:t>A dynamic qualitative scoring model, constructed from 13 indicators that measure specific attributes of the environment for microfinance across 20 Latin American and Caribbean countries. </a:t>
          </a:r>
        </a:p>
        <a:p>
          <a:pPr algn="l" rtl="0">
            <a:defRPr sz="1000"/>
          </a:pPr>
          <a:endParaRPr lang="en-US" sz="1000" b="0" i="0" u="none" strike="noStrike" baseline="0">
            <a:solidFill>
              <a:srgbClr val="333333"/>
            </a:solidFill>
            <a:latin typeface="Verdana"/>
          </a:endParaRPr>
        </a:p>
        <a:p>
          <a:pPr algn="l" rtl="0">
            <a:defRPr sz="1000"/>
          </a:pPr>
          <a:r>
            <a:rPr lang="en-US" sz="1000" b="0" i="0" u="none" strike="noStrike" baseline="0">
              <a:solidFill>
                <a:srgbClr val="333333"/>
              </a:solidFill>
              <a:latin typeface="Verdana"/>
            </a:rPr>
            <a:t>Each indicator is scored from 0-4, where 4=best. </a:t>
          </a:r>
        </a:p>
        <a:p>
          <a:pPr algn="l" rtl="0">
            <a:defRPr sz="1000"/>
          </a:pPr>
          <a:endParaRPr lang="en-US" sz="1000" b="0" i="0" u="none" strike="noStrike" baseline="0">
            <a:solidFill>
              <a:srgbClr val="333333"/>
            </a:solidFill>
            <a:latin typeface="Verdana"/>
          </a:endParaRPr>
        </a:p>
        <a:p>
          <a:pPr algn="l" rtl="0">
            <a:defRPr sz="1000"/>
          </a:pPr>
          <a:r>
            <a:rPr lang="en-US" sz="1000" b="0" i="0" u="none" strike="noStrike" baseline="0">
              <a:solidFill>
                <a:srgbClr val="333333"/>
              </a:solidFill>
              <a:latin typeface="Verdana"/>
            </a:rPr>
            <a:t>Three category scores -  Regulatory framework, Investment climate and Institutional development - are calculated from the weighted mean of underlying indicators and scaled from 0-100, where 100=best.</a:t>
          </a:r>
        </a:p>
        <a:p>
          <a:pPr algn="l" rtl="0">
            <a:defRPr sz="1000"/>
          </a:pPr>
          <a:endParaRPr lang="en-US" sz="1000" b="0" i="0" u="none" strike="noStrike" baseline="0">
            <a:solidFill>
              <a:srgbClr val="333333"/>
            </a:solidFill>
            <a:latin typeface="Verdana"/>
          </a:endParaRPr>
        </a:p>
        <a:p>
          <a:pPr algn="l" rtl="0">
            <a:defRPr sz="1000"/>
          </a:pPr>
          <a:r>
            <a:rPr lang="en-US" sz="1000" b="0" i="0" u="none" strike="noStrike" baseline="0">
              <a:solidFill>
                <a:srgbClr val="333333"/>
              </a:solidFill>
              <a:latin typeface="Verdana"/>
            </a:rPr>
            <a:t>An overall score, from 0-100, where 100=best, is calculated from the weighted mean of the three category scores.</a:t>
          </a:r>
        </a:p>
        <a:p>
          <a:pPr algn="l" rtl="0">
            <a:defRPr sz="1000"/>
          </a:pPr>
          <a:endParaRPr lang="en-US" sz="1000" b="0" i="0" u="none" strike="noStrike" baseline="0">
            <a:solidFill>
              <a:srgbClr val="333333"/>
            </a:solidFill>
            <a:latin typeface="Verdana"/>
          </a:endParaRPr>
        </a:p>
        <a:p>
          <a:pPr algn="l" rtl="0">
            <a:defRPr sz="1000"/>
          </a:pPr>
          <a:r>
            <a:rPr lang="en-US" sz="1000" b="0" i="0" u="none" strike="noStrike" baseline="0">
              <a:solidFill>
                <a:srgbClr val="333333"/>
              </a:solidFill>
              <a:latin typeface="Verdana"/>
            </a:rPr>
            <a:t>The weighting for each indicator and category can be adjusted by editing the "Weights" worksheet; please note that the current category weights are as follows: 40% for Regulatory framework, 20% for Investment climate and 40% for Institutional Development.</a:t>
          </a:r>
        </a:p>
        <a:p>
          <a:pPr algn="l" rtl="0">
            <a:defRPr sz="1000"/>
          </a:pPr>
          <a:endParaRPr lang="en-US" sz="1000" b="0" i="0" u="none" strike="noStrike" baseline="0">
            <a:solidFill>
              <a:srgbClr val="333333"/>
            </a:solidFill>
            <a:latin typeface="Verdana"/>
          </a:endParaRPr>
        </a:p>
        <a:p>
          <a:pPr algn="l" rtl="0">
            <a:defRPr sz="1000"/>
          </a:pPr>
          <a:endParaRPr lang="en-US" sz="1000" b="0" i="0" u="none" strike="noStrike" baseline="0">
            <a:solidFill>
              <a:srgbClr val="333333"/>
            </a:solidFill>
            <a:latin typeface="Verdana"/>
          </a:endParaRPr>
        </a:p>
      </xdr:txBody>
    </xdr:sp>
    <xdr:clientData/>
  </xdr:twoCellAnchor>
  <xdr:twoCellAnchor>
    <xdr:from>
      <xdr:col>0</xdr:col>
      <xdr:colOff>38100</xdr:colOff>
      <xdr:row>26</xdr:row>
      <xdr:rowOff>57150</xdr:rowOff>
    </xdr:from>
    <xdr:to>
      <xdr:col>10</xdr:col>
      <xdr:colOff>1114425</xdr:colOff>
      <xdr:row>27</xdr:row>
      <xdr:rowOff>133350</xdr:rowOff>
    </xdr:to>
    <xdr:sp macro="" textlink="">
      <xdr:nvSpPr>
        <xdr:cNvPr id="6966" name="Text Box 9"/>
        <xdr:cNvSpPr txBox="1">
          <a:spLocks noChangeArrowheads="1"/>
        </xdr:cNvSpPr>
      </xdr:nvSpPr>
      <xdr:spPr bwMode="auto">
        <a:xfrm>
          <a:off x="38100" y="4419600"/>
          <a:ext cx="6943725" cy="238125"/>
        </a:xfrm>
        <a:prstGeom prst="rect">
          <a:avLst/>
        </a:prstGeom>
        <a:solidFill>
          <a:srgbClr val="CBD4D9"/>
        </a:solidFill>
        <a:ln w="9525">
          <a:solidFill>
            <a:srgbClr val="E8E8E8"/>
          </a:solidFill>
          <a:miter lim="800000"/>
          <a:headEnd/>
          <a:tailEnd/>
        </a:ln>
      </xdr:spPr>
      <xdr:txBody>
        <a:bodyPr vertOverflow="clip" wrap="square" lIns="72000" tIns="46800" rIns="90000" bIns="46800" anchor="t" upright="1"/>
        <a:lstStyle/>
        <a:p>
          <a:pPr algn="l" rtl="0">
            <a:defRPr sz="1000"/>
          </a:pPr>
          <a:r>
            <a:rPr lang="en-US" sz="800" b="0" i="0" u="none" strike="noStrike" baseline="0">
              <a:solidFill>
                <a:srgbClr val="333333"/>
              </a:solidFill>
              <a:latin typeface="Verdana"/>
            </a:rPr>
            <a:t>Published:</a:t>
          </a:r>
          <a:r>
            <a:rPr lang="en-US" sz="800" b="0" i="0" u="none" strike="noStrike" baseline="0">
              <a:solidFill>
                <a:srgbClr val="000000"/>
              </a:solidFill>
              <a:latin typeface="Verdana"/>
            </a:rPr>
            <a:t> </a:t>
          </a:r>
          <a:r>
            <a:rPr lang="en-US" sz="800" b="0" i="0" u="none" strike="noStrike" baseline="0">
              <a:solidFill>
                <a:srgbClr val="003366"/>
              </a:solidFill>
              <a:latin typeface="Verdana"/>
            </a:rPr>
            <a:t>8 October 2008</a:t>
          </a:r>
          <a:r>
            <a:rPr lang="en-US" sz="800" b="0" i="0" u="none" strike="noStrike" baseline="0">
              <a:solidFill>
                <a:srgbClr val="000000"/>
              </a:solidFill>
              <a:latin typeface="Verdana"/>
            </a:rPr>
            <a:t>                                </a:t>
          </a:r>
          <a:r>
            <a:rPr lang="en-US" sz="800" b="0" i="0" u="none" strike="noStrike" baseline="0">
              <a:solidFill>
                <a:srgbClr val="333333"/>
              </a:solidFill>
              <a:latin typeface="Verdana"/>
            </a:rPr>
            <a:t>Research manager:</a:t>
          </a:r>
          <a:r>
            <a:rPr lang="en-US" sz="800" b="0" i="0" u="none" strike="noStrike" baseline="0">
              <a:solidFill>
                <a:srgbClr val="000000"/>
              </a:solidFill>
              <a:latin typeface="Verdana"/>
            </a:rPr>
            <a:t> </a:t>
          </a:r>
          <a:r>
            <a:rPr lang="en-US" sz="800" b="0" i="0" u="none" strike="noStrike" baseline="0">
              <a:solidFill>
                <a:srgbClr val="003366"/>
              </a:solidFill>
              <a:latin typeface="Verdana"/>
            </a:rPr>
            <a:t>Vanesa Sanchez</a:t>
          </a:r>
          <a:r>
            <a:rPr lang="en-US" sz="800" b="0" i="0" u="none" strike="noStrike" baseline="0">
              <a:solidFill>
                <a:srgbClr val="000000"/>
              </a:solidFill>
              <a:latin typeface="Verdana"/>
            </a:rPr>
            <a:t>, VanesaSanchez@eiu.com</a:t>
          </a:r>
        </a:p>
        <a:p>
          <a:pPr algn="l" rtl="0">
            <a:defRPr sz="1000"/>
          </a:pPr>
          <a:endParaRPr lang="en-US" sz="800" b="0" i="0" u="none" strike="noStrike" baseline="0">
            <a:solidFill>
              <a:srgbClr val="000000"/>
            </a:solidFill>
            <a:latin typeface="Verdana"/>
          </a:endParaRPr>
        </a:p>
      </xdr:txBody>
    </xdr:sp>
    <xdr:clientData/>
  </xdr:twoCellAnchor>
  <xdr:twoCellAnchor editAs="oneCell">
    <xdr:from>
      <xdr:col>0</xdr:col>
      <xdr:colOff>66675</xdr:colOff>
      <xdr:row>22</xdr:row>
      <xdr:rowOff>76200</xdr:rowOff>
    </xdr:from>
    <xdr:to>
      <xdr:col>2</xdr:col>
      <xdr:colOff>161925</xdr:colOff>
      <xdr:row>26</xdr:row>
      <xdr:rowOff>0</xdr:rowOff>
    </xdr:to>
    <xdr:pic>
      <xdr:nvPicPr>
        <xdr:cNvPr id="6971" name="Picture 827" descr="IDB_Crop"/>
        <xdr:cNvPicPr>
          <a:picLocks noChangeAspect="1" noChangeArrowheads="1"/>
        </xdr:cNvPicPr>
      </xdr:nvPicPr>
      <xdr:blipFill>
        <a:blip xmlns:r="http://schemas.openxmlformats.org/officeDocument/2006/relationships" r:embed="rId4" cstate="print"/>
        <a:srcRect/>
        <a:stretch>
          <a:fillRect/>
        </a:stretch>
      </xdr:blipFill>
      <xdr:spPr bwMode="auto">
        <a:xfrm>
          <a:off x="66675" y="3790950"/>
          <a:ext cx="1085850" cy="571500"/>
        </a:xfrm>
        <a:prstGeom prst="rect">
          <a:avLst/>
        </a:prstGeom>
        <a:noFill/>
      </xdr:spPr>
    </xdr:pic>
    <xdr:clientData/>
  </xdr:twoCellAnchor>
  <xdr:twoCellAnchor editAs="oneCell">
    <xdr:from>
      <xdr:col>10</xdr:col>
      <xdr:colOff>171450</xdr:colOff>
      <xdr:row>22</xdr:row>
      <xdr:rowOff>66675</xdr:rowOff>
    </xdr:from>
    <xdr:to>
      <xdr:col>10</xdr:col>
      <xdr:colOff>1114425</xdr:colOff>
      <xdr:row>26</xdr:row>
      <xdr:rowOff>19050</xdr:rowOff>
    </xdr:to>
    <xdr:pic>
      <xdr:nvPicPr>
        <xdr:cNvPr id="6972" name="Picture 16" descr="CAF_logo color"/>
        <xdr:cNvPicPr>
          <a:picLocks noChangeAspect="1" noChangeArrowheads="1"/>
        </xdr:cNvPicPr>
      </xdr:nvPicPr>
      <xdr:blipFill>
        <a:blip xmlns:r="http://schemas.openxmlformats.org/officeDocument/2006/relationships" r:embed="rId5" cstate="print"/>
        <a:srcRect/>
        <a:stretch>
          <a:fillRect/>
        </a:stretch>
      </xdr:blipFill>
      <xdr:spPr bwMode="auto">
        <a:xfrm>
          <a:off x="6038850" y="3781425"/>
          <a:ext cx="942975" cy="6000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2</xdr:row>
      <xdr:rowOff>114300</xdr:rowOff>
    </xdr:from>
    <xdr:to>
      <xdr:col>14</xdr:col>
      <xdr:colOff>333375</xdr:colOff>
      <xdr:row>159</xdr:row>
      <xdr:rowOff>152400</xdr:rowOff>
    </xdr:to>
    <xdr:sp macro="" textlink="">
      <xdr:nvSpPr>
        <xdr:cNvPr id="8374" name="Text Box 1"/>
        <xdr:cNvSpPr txBox="1">
          <a:spLocks noChangeArrowheads="1"/>
        </xdr:cNvSpPr>
      </xdr:nvSpPr>
      <xdr:spPr bwMode="auto">
        <a:xfrm>
          <a:off x="152400" y="438150"/>
          <a:ext cx="8715375" cy="25460325"/>
        </a:xfrm>
        <a:prstGeom prst="rect">
          <a:avLst/>
        </a:prstGeom>
        <a:solidFill>
          <a:srgbClr val="FFFFFF"/>
        </a:solidFill>
        <a:ln w="9525">
          <a:solidFill>
            <a:srgbClr val="000000"/>
          </a:solidFill>
          <a:miter lim="800000"/>
          <a:headEnd/>
          <a:tailEnd/>
        </a:ln>
      </xdr:spPr>
      <xdr:txBody>
        <a:bodyPr vertOverflow="clip" wrap="square" lIns="45720" tIns="41148" rIns="0" bIns="0" anchor="t" upright="1"/>
        <a:lstStyle/>
        <a:p>
          <a:pPr algn="l" rtl="0">
            <a:defRPr sz="1000"/>
          </a:pPr>
          <a:r>
            <a:rPr lang="en-US" sz="2000" b="1" i="0" u="none" strike="noStrike" baseline="0">
              <a:solidFill>
                <a:srgbClr val="000000"/>
              </a:solidFill>
              <a:latin typeface="Arial"/>
              <a:cs typeface="Arial"/>
            </a:rPr>
            <a:t>Microscope on the Microfinance Business</a:t>
          </a:r>
        </a:p>
        <a:p>
          <a:pPr algn="l" rtl="0">
            <a:defRPr sz="1000"/>
          </a:pPr>
          <a:r>
            <a:rPr lang="en-US" sz="2000" b="1" i="0" u="none" strike="noStrike" baseline="0">
              <a:solidFill>
                <a:srgbClr val="000000"/>
              </a:solidFill>
              <a:latin typeface="Arial"/>
              <a:cs typeface="Arial"/>
            </a:rPr>
            <a:t>Environment in Latin America and the Caribbean 2008</a:t>
          </a:r>
        </a:p>
        <a:p>
          <a:pPr algn="l" rtl="0">
            <a:defRPr sz="1000"/>
          </a:pPr>
          <a:r>
            <a:rPr lang="en-US" sz="1000" b="1" i="0" u="none" strike="noStrike" baseline="0">
              <a:solidFill>
                <a:srgbClr val="000000"/>
              </a:solidFill>
              <a:latin typeface="Arial"/>
              <a:cs typeface="Arial"/>
            </a:rPr>
            <a:t>Executive summary</a:t>
          </a:r>
          <a:endParaRPr lang="en-US" sz="2000" b="1"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In this second year of the Microscope on the Microfinance Business Environment in Latin America and the Caribbean (the Microscope), the 15 countries from the first year of the study—Argentina, Bolivia, Brazil, Chile, Colombia, the Dominican Republic, Ecuador, El Salvador, Guatemala, Mexico, Nicaragua, Paraguay, Peru, Uruguay and Venezuela—are again included. To give the index a broader regional scope, five new countries from Central America and the Caribbean—Costa Rica, Haiti, Honduras, Jamaica and Panama—were added this year. This wider lens, along with shifts in the microfinance environment in individual countries, yielded many changes in the rankings, ultimately providing a deeper and more complete assessment of the industry in the region.</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Key findings of the Microscope include:</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There is considerable variation in the region’s microfinance business environment. At the favourable end of the spectrum, Peru scores 76.6 (on a scale of 0-100, with 100 being the most microfinance-friendly), followed by Bolivia at 74.4, Ecuador at 69.7, El Salvador at 59, Colombia at 58.6, Nicaragua at 58 and Guatemala at 54.  These seven countries are the only ones to score above 50 (six were above that threshold in 2007).  The remaining 13 countries fall into two rather disparate groups. The first group clusters just below the midpoint of the index, in the range of 40 to 50 points. These include Paraguay, the Dominican Republic, Mexico, Panama, Honduras, Chile, Brazil and Costa Rica. Five countries fall into a distinct lower tier, and include Haiti, Argentina, Uruguay, Venezuela and Jamaica.</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Of the 15 countries scored in both 2007 and 2008, six registered improvements.  Four countries recorded minor losses of less than three points, and five nations suffered major setbacks of three points or more. In some cases significant improvements were exhibited by countries that previously had unfavourable environments—Colombia, whose score rose 12.5 points to 58.6, and Guatemala, up 10 points to 54. At the same time, one country with a still-stellar environment, Bolivia, slipped by 5 points to 74.4—and into second place from first. Another country with a previously favourable environment, the Dominican Republic, experienced a notable decline, falling by 9.5 points to score 48 and by four ranks to ninth place.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Many of the more notable changes in scores and rankings in this year’s Microscope reflect alterations to the regulatory environment for microfinance. This was true of both positive changes in Colombia and Peru and negative ones in Bolivia. This year’s index thus highlights the importance of having knowledgeable regulators and committed political authorities with a will to promote microfinance as a commercial activity.  At the same time it underscores the vulnerability of existing gains in business and regulatory environments should political winds shift and regulators lose autonomy and political support.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The 2008 Microscope again highlights last year’s key finding that country size and wealth is disassociated from the quality of its microfinance environment.</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Country scores continue to be associated in rough but important ways with the level of microfinance penetration and demand in each country. Countries with good Microscope scores (i.e., better microfinance environments) continue to have a higher proportion of their population using microfinance compared with countries awarded low Microscope scores.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Please refer to the PDF report for an in-depth discussion of country and ranking results, available for download at: www.eiu.com/Microscope2008, www.iadb.org/mif/microscope or www.caf.com.</a:t>
          </a:r>
        </a:p>
        <a:p>
          <a:pPr algn="l" rtl="0">
            <a:defRPr sz="1000"/>
          </a:pPr>
          <a:r>
            <a:rPr lang="en-US" sz="1000" b="0" i="0" u="none" strike="noStrike" baseline="0">
              <a:solidFill>
                <a:srgbClr val="000000"/>
              </a:solidFill>
              <a:latin typeface="Arial"/>
              <a:cs typeface="Arial"/>
            </a:rPr>
            <a:t> </a:t>
          </a:r>
          <a:endParaRPr lang="en-US" sz="2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Scoring criteria</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criteria used in this study were chosen in close consultation between the EIU research team and the Inter-American Development Bank. The real-world relevance of these indicators was evaluated through in-depth interviews conducted with country experts and microfinance practitioners from the region in late August and early September 2007; these indicators were reused in their entirety for 2008.</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Economist Intelligence Unit gathered data for the Microscope from the following types of sources (see the Appendix for a more complete listing):</a:t>
          </a:r>
        </a:p>
        <a:p>
          <a:pPr algn="l" rtl="0">
            <a:defRPr sz="1000"/>
          </a:pPr>
          <a:r>
            <a:rPr lang="en-US" sz="1000" b="0" i="0" u="none" strike="noStrike" baseline="0">
              <a:solidFill>
                <a:srgbClr val="000000"/>
              </a:solidFill>
              <a:latin typeface="Arial"/>
              <a:cs typeface="Arial"/>
            </a:rPr>
            <a:t>           • Personal interviews</a:t>
          </a:r>
        </a:p>
        <a:p>
          <a:pPr algn="l" rtl="0">
            <a:defRPr sz="1000"/>
          </a:pPr>
          <a:r>
            <a:rPr lang="en-US" sz="1000" b="0" i="0" u="none" strike="noStrike" baseline="0">
              <a:solidFill>
                <a:srgbClr val="000000"/>
              </a:solidFill>
              <a:latin typeface="Arial"/>
              <a:cs typeface="Arial"/>
            </a:rPr>
            <a:t>           • Economist Intelligence Unit proprietary country rankings and reports</a:t>
          </a:r>
        </a:p>
        <a:p>
          <a:pPr algn="l" rtl="0">
            <a:defRPr sz="1000"/>
          </a:pPr>
          <a:r>
            <a:rPr lang="en-US" sz="1000" b="0" i="0" u="none" strike="noStrike" baseline="0">
              <a:solidFill>
                <a:srgbClr val="000000"/>
              </a:solidFill>
              <a:latin typeface="Arial"/>
              <a:cs typeface="Arial"/>
            </a:rPr>
            <a:t>           • Scholarly studies</a:t>
          </a:r>
        </a:p>
        <a:p>
          <a:pPr algn="l" rtl="0">
            <a:defRPr sz="1000"/>
          </a:pPr>
          <a:r>
            <a:rPr lang="en-US" sz="1000" b="0" i="0" u="none" strike="noStrike" baseline="0">
              <a:solidFill>
                <a:srgbClr val="000000"/>
              </a:solidFill>
              <a:latin typeface="Arial"/>
              <a:cs typeface="Arial"/>
            </a:rPr>
            <a:t>           • Websites of government authorities and international organisations</a:t>
          </a:r>
        </a:p>
        <a:p>
          <a:pPr algn="l" rtl="0">
            <a:defRPr sz="1000"/>
          </a:pPr>
          <a:r>
            <a:rPr lang="en-US" sz="1000" b="0" i="0" u="none" strike="noStrike" baseline="0">
              <a:solidFill>
                <a:srgbClr val="000000"/>
              </a:solidFill>
              <a:latin typeface="Arial"/>
              <a:cs typeface="Arial"/>
            </a:rPr>
            <a:t>           • Websites of industry associations</a:t>
          </a:r>
        </a:p>
        <a:p>
          <a:pPr algn="l" rtl="0">
            <a:defRPr sz="1000"/>
          </a:pPr>
          <a:r>
            <a:rPr lang="en-US" sz="1000" b="0" i="0" u="none" strike="noStrike" baseline="0">
              <a:solidFill>
                <a:srgbClr val="000000"/>
              </a:solidFill>
              <a:latin typeface="Arial"/>
              <a:cs typeface="Arial"/>
            </a:rPr>
            <a:t>           • Local and international news media reports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Ample documentation of the scoring process, methodology, and sourcing are provided in a separate paper.</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Based on the views of these respondents and on senior IDB staff, the categories “Regulatory Framework” and “Institutional Development” were each weighted an aggregate 40% toward the 100 point score while “Investment Climate” was weighted 20%. However, it is important to point out that, even with alternative weighting schemes that assign more weight to the latter category (such as weighting each of the 13 variables equally, or weighting each of the three categories equally), the relative importance of the investment climate in shaping overall microfinance environments consistently emerged as secondary to that of the regulatory framework and institutional development.</a:t>
          </a:r>
        </a:p>
        <a:p>
          <a:pPr algn="l" rtl="0">
            <a:defRPr sz="1000"/>
          </a:pPr>
          <a:endParaRPr lang="en-US" sz="1000" b="0" i="0" u="none" strike="noStrike" baseline="0">
            <a:solidFill>
              <a:srgbClr val="000000"/>
            </a:solidFill>
            <a:latin typeface="Arial"/>
            <a:cs typeface="Arial"/>
          </a:endParaRPr>
        </a:p>
      </xdr:txBody>
    </xdr:sp>
    <xdr:clientData/>
  </xdr:twoCellAnchor>
  <xdr:twoCellAnchor editAs="oneCell">
    <xdr:from>
      <xdr:col>0</xdr:col>
      <xdr:colOff>152400</xdr:colOff>
      <xdr:row>0</xdr:row>
      <xdr:rowOff>66675</xdr:rowOff>
    </xdr:from>
    <xdr:to>
      <xdr:col>4</xdr:col>
      <xdr:colOff>561975</xdr:colOff>
      <xdr:row>2</xdr:row>
      <xdr:rowOff>19050</xdr:rowOff>
    </xdr:to>
    <xdr:pic>
      <xdr:nvPicPr>
        <xdr:cNvPr id="8375" name="Picture 3" descr="just_eiu_logo"/>
        <xdr:cNvPicPr>
          <a:picLocks noChangeAspect="1" noChangeArrowheads="1"/>
        </xdr:cNvPicPr>
      </xdr:nvPicPr>
      <xdr:blipFill>
        <a:blip xmlns:r="http://schemas.openxmlformats.org/officeDocument/2006/relationships" r:embed="rId1" cstate="print"/>
        <a:srcRect/>
        <a:stretch>
          <a:fillRect/>
        </a:stretch>
      </xdr:blipFill>
      <xdr:spPr bwMode="auto">
        <a:xfrm>
          <a:off x="152400" y="66675"/>
          <a:ext cx="2847975" cy="2762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0</xdr:row>
      <xdr:rowOff>95250</xdr:rowOff>
    </xdr:from>
    <xdr:to>
      <xdr:col>11</xdr:col>
      <xdr:colOff>171450</xdr:colOff>
      <xdr:row>157</xdr:row>
      <xdr:rowOff>133350</xdr:rowOff>
    </xdr:to>
    <xdr:sp macro="" textlink="">
      <xdr:nvSpPr>
        <xdr:cNvPr id="116737" name="Text Box 1"/>
        <xdr:cNvSpPr txBox="1">
          <a:spLocks noChangeArrowheads="1"/>
        </xdr:cNvSpPr>
      </xdr:nvSpPr>
      <xdr:spPr bwMode="auto">
        <a:xfrm>
          <a:off x="114300" y="95250"/>
          <a:ext cx="6762750" cy="25460325"/>
        </a:xfrm>
        <a:prstGeom prst="rect">
          <a:avLst/>
        </a:prstGeom>
        <a:solidFill>
          <a:srgbClr val="FFFFFF"/>
        </a:solidFill>
        <a:ln w="9525">
          <a:solidFill>
            <a:srgbClr val="000000"/>
          </a:solidFill>
          <a:miter lim="800000"/>
          <a:headEnd/>
          <a:tailEnd/>
        </a:ln>
      </xdr:spPr>
      <xdr:txBody>
        <a:bodyPr vertOverflow="clip" wrap="square" lIns="45720" tIns="41148" rIns="0" bIns="0" anchor="t" upright="1"/>
        <a:lstStyle/>
        <a:p>
          <a:pPr algn="l" rtl="0">
            <a:defRPr sz="1000"/>
          </a:pPr>
          <a:r>
            <a:rPr lang="en-US" sz="2000" b="1" i="0" u="none" strike="noStrike" baseline="0">
              <a:solidFill>
                <a:srgbClr val="000000"/>
              </a:solidFill>
              <a:latin typeface="Arial"/>
              <a:cs typeface="Arial"/>
            </a:rPr>
            <a:t>Model guide</a:t>
          </a:r>
        </a:p>
        <a:p>
          <a:pPr algn="l" rtl="0">
            <a:defRPr sz="1000"/>
          </a:pPr>
          <a:endParaRPr lang="en-US" sz="2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Summary tab</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tab ranks countries according to their overall and category scores, in separate boxes for each. Scores</a:t>
          </a:r>
        </a:p>
        <a:p>
          <a:pPr algn="l" rtl="0">
            <a:defRPr sz="1000"/>
          </a:pPr>
          <a:r>
            <a:rPr lang="en-US" sz="1000" b="0" i="0" u="none" strike="noStrike" baseline="0">
              <a:solidFill>
                <a:srgbClr val="000000"/>
              </a:solidFill>
              <a:latin typeface="Arial"/>
              <a:cs typeface="Arial"/>
            </a:rPr>
            <a:t>are indicated to the right of each country in blue text. Ranks are listed to the left of each country. Rank</a:t>
          </a:r>
        </a:p>
        <a:p>
          <a:pPr algn="l" rtl="0">
            <a:defRPr sz="1000"/>
          </a:pPr>
          <a:r>
            <a:rPr lang="en-US" sz="1000" b="0" i="0" u="none" strike="noStrike" baseline="0">
              <a:solidFill>
                <a:srgbClr val="000000"/>
              </a:solidFill>
              <a:latin typeface="Arial"/>
              <a:cs typeface="Arial"/>
            </a:rPr>
            <a:t>change calculations can be found to the right of the 2008 score. The first rank change calculation next to</a:t>
          </a:r>
        </a:p>
        <a:p>
          <a:pPr algn="l" rtl="0">
            <a:defRPr sz="1000"/>
          </a:pPr>
          <a:r>
            <a:rPr lang="en-US" sz="1000" b="0" i="0" u="none" strike="noStrike" baseline="0">
              <a:solidFill>
                <a:srgbClr val="000000"/>
              </a:solidFill>
              <a:latin typeface="Arial"/>
              <a:cs typeface="Arial"/>
            </a:rPr>
            <a:t>the 2008 score compares the rankings of the original 15 countries from 2007 with the same 15 countries</a:t>
          </a:r>
        </a:p>
        <a:p>
          <a:pPr algn="l" rtl="0">
            <a:defRPr sz="1000"/>
          </a:pPr>
          <a:r>
            <a:rPr lang="en-US" sz="1000" b="0" i="0" u="none" strike="noStrike" baseline="0">
              <a:solidFill>
                <a:srgbClr val="000000"/>
              </a:solidFill>
              <a:latin typeface="Arial"/>
              <a:cs typeface="Arial"/>
            </a:rPr>
            <a:t>in 2008. The second rank change calculation (farthest to the right) compares the rankings of the original</a:t>
          </a:r>
        </a:p>
        <a:p>
          <a:pPr algn="l" rtl="0">
            <a:defRPr sz="1000"/>
          </a:pPr>
          <a:r>
            <a:rPr lang="en-US" sz="1000" b="0" i="0" u="none" strike="noStrike" baseline="0">
              <a:solidFill>
                <a:srgbClr val="000000"/>
              </a:solidFill>
              <a:latin typeface="Arial"/>
              <a:cs typeface="Arial"/>
            </a:rPr>
            <a:t>15 countries with the same 15 countries and five new countries in 2008.</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Year on year score change tab</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tab ranks countries according to overall and category score changes since 2007 for the 15 original</a:t>
          </a:r>
        </a:p>
        <a:p>
          <a:pPr algn="l" rtl="0">
            <a:defRPr sz="1000"/>
          </a:pPr>
          <a:r>
            <a:rPr lang="en-US" sz="1000" b="0" i="0" u="none" strike="noStrike" baseline="0">
              <a:solidFill>
                <a:srgbClr val="000000"/>
              </a:solidFill>
              <a:latin typeface="Arial"/>
              <a:cs typeface="Arial"/>
            </a:rPr>
            <a:t>microscope countries only. This shows countries which have improved the most, deteriorated the most</a:t>
          </a:r>
        </a:p>
        <a:p>
          <a:pPr algn="l" rtl="0">
            <a:defRPr sz="1000"/>
          </a:pPr>
          <a:r>
            <a:rPr lang="en-US" sz="1000" b="0" i="0" u="none" strike="noStrike" baseline="0">
              <a:solidFill>
                <a:srgbClr val="000000"/>
              </a:solidFill>
              <a:latin typeface="Arial"/>
              <a:cs typeface="Arial"/>
            </a:rPr>
            <a:t>and those whose microfinance environments have remained relatively constant. Similar to the Summary</a:t>
          </a:r>
        </a:p>
        <a:p>
          <a:pPr algn="l" rtl="0">
            <a:defRPr sz="1000"/>
          </a:pPr>
          <a:r>
            <a:rPr lang="en-US" sz="1000" b="0" i="0" u="none" strike="noStrike" baseline="0">
              <a:solidFill>
                <a:srgbClr val="000000"/>
              </a:solidFill>
              <a:latin typeface="Arial"/>
              <a:cs typeface="Arial"/>
            </a:rPr>
            <a:t>tab, ranks are indicated to the left of country names, scores are indicated to the right and score changes</a:t>
          </a:r>
        </a:p>
        <a:p>
          <a:pPr algn="l" rtl="0">
            <a:defRPr sz="1000"/>
          </a:pPr>
          <a:r>
            <a:rPr lang="en-US" sz="1000" b="0" i="0" u="none" strike="noStrike" baseline="0">
              <a:solidFill>
                <a:srgbClr val="000000"/>
              </a:solidFill>
              <a:latin typeface="Arial"/>
              <a:cs typeface="Arial"/>
            </a:rPr>
            <a:t>are listed in the far right hand column of each box.</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Scatter tab</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tab plots countries’ overall and category microscope scores (Y-axis) against two important</a:t>
          </a:r>
        </a:p>
        <a:p>
          <a:pPr algn="l" rtl="0">
            <a:defRPr sz="1000"/>
          </a:pPr>
          <a:r>
            <a:rPr lang="en-US" sz="1000" b="0" i="0" u="none" strike="noStrike" baseline="0">
              <a:solidFill>
                <a:srgbClr val="000000"/>
              </a:solidFill>
              <a:latin typeface="Arial"/>
              <a:cs typeface="Arial"/>
            </a:rPr>
            <a:t>microfinance ratios (X-axis). The first of these ratios is the number of MFI clients as a % of total country</a:t>
          </a:r>
        </a:p>
        <a:p>
          <a:pPr algn="l" rtl="0">
            <a:defRPr sz="1000"/>
          </a:pPr>
          <a:r>
            <a:rPr lang="en-US" sz="1000" b="0" i="0" u="none" strike="noStrike" baseline="0">
              <a:solidFill>
                <a:srgbClr val="000000"/>
              </a:solidFill>
              <a:latin typeface="Arial"/>
              <a:cs typeface="Arial"/>
            </a:rPr>
            <a:t>population, and the second is the number of MFI clients as a % of microenterprises. The drop-down menu</a:t>
          </a:r>
        </a:p>
        <a:p>
          <a:pPr algn="l" rtl="0">
            <a:defRPr sz="1000"/>
          </a:pPr>
          <a:r>
            <a:rPr lang="en-US" sz="1000" b="0" i="0" u="none" strike="noStrike" baseline="0">
              <a:solidFill>
                <a:srgbClr val="000000"/>
              </a:solidFill>
              <a:latin typeface="Arial"/>
              <a:cs typeface="Arial"/>
            </a:rPr>
            <a:t>at the top right hand corner allows users to select the preferred ratio for the X-axis, whilst another drop</a:t>
          </a:r>
        </a:p>
        <a:p>
          <a:pPr algn="l" rtl="0">
            <a:defRPr sz="1000"/>
          </a:pPr>
          <a:r>
            <a:rPr lang="en-US" sz="1000" b="0" i="0" u="none" strike="noStrike" baseline="0">
              <a:solidFill>
                <a:srgbClr val="000000"/>
              </a:solidFill>
              <a:latin typeface="Arial"/>
              <a:cs typeface="Arial"/>
            </a:rPr>
            <a:t>down menu below allows users to select which score– overall or category– appears on the Y-axis.</a:t>
          </a:r>
        </a:p>
        <a:p>
          <a:pPr algn="l" rtl="0">
            <a:defRPr sz="1000"/>
          </a:pPr>
          <a:r>
            <a:rPr lang="en-US" sz="1000" b="0" i="0" u="none" strike="noStrike" baseline="0">
              <a:solidFill>
                <a:srgbClr val="000000"/>
              </a:solidFill>
              <a:latin typeface="Arial"/>
              <a:cs typeface="Arial"/>
            </a:rPr>
            <a:t>A scatter plot line draws a correlation between scores and ratios. This line suggests a relationship</a:t>
          </a:r>
        </a:p>
        <a:p>
          <a:pPr algn="l" rtl="0">
            <a:defRPr sz="1000"/>
          </a:pPr>
          <a:r>
            <a:rPr lang="en-US" sz="1000" b="0" i="0" u="none" strike="noStrike" baseline="0">
              <a:solidFill>
                <a:srgbClr val="000000"/>
              </a:solidFill>
              <a:latin typeface="Arial"/>
              <a:cs typeface="Arial"/>
            </a:rPr>
            <a:t>between scores and ratios but does not constitute causation. The correlation strength is indicated by</a:t>
          </a:r>
        </a:p>
        <a:p>
          <a:pPr algn="l" rtl="0">
            <a:defRPr sz="1000"/>
          </a:pPr>
          <a:r>
            <a:rPr lang="en-US" sz="1000" b="0" i="0" u="none" strike="noStrike" baseline="0">
              <a:solidFill>
                <a:srgbClr val="000000"/>
              </a:solidFill>
              <a:latin typeface="Arial"/>
              <a:cs typeface="Arial"/>
            </a:rPr>
            <a:t>the coefficient displayed in the top right hand corner. A coefficient of one and a 45-degree line suggest a</a:t>
          </a:r>
        </a:p>
        <a:p>
          <a:pPr algn="l" rtl="0">
            <a:defRPr sz="1000"/>
          </a:pPr>
          <a:r>
            <a:rPr lang="en-US" sz="1000" b="0" i="0" u="none" strike="noStrike" baseline="0">
              <a:solidFill>
                <a:srgbClr val="000000"/>
              </a:solidFill>
              <a:latin typeface="Arial"/>
              <a:cs typeface="Arial"/>
            </a:rPr>
            <a:t>strong correlation, whereas a coefficient of 0 and a horizontal line suggest no correlation.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Data note: Please note that the data year for MFI clients as % of microenterprises is circa 2005. Data for the "MFI clients as % of Population" scatter plot has been updated to reflect 2007 figures.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Indicator tab</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indicator tab displays scores for one particular indicator across all countries, ranking these from best</a:t>
          </a:r>
        </a:p>
        <a:p>
          <a:pPr algn="l" rtl="0">
            <a:defRPr sz="1000"/>
          </a:pPr>
          <a:r>
            <a:rPr lang="en-US" sz="1000" b="0" i="0" u="none" strike="noStrike" baseline="0">
              <a:solidFill>
                <a:srgbClr val="000000"/>
              </a:solidFill>
              <a:latin typeface="Arial"/>
              <a:cs typeface="Arial"/>
            </a:rPr>
            <a:t>to worst score. By selecting an indicator name from the list on the left hand side, viewers can change the</a:t>
          </a:r>
        </a:p>
        <a:p>
          <a:pPr algn="l" rtl="0">
            <a:defRPr sz="1000"/>
          </a:pPr>
          <a:r>
            <a:rPr lang="en-US" sz="1000" b="0" i="0" u="none" strike="noStrike" baseline="0">
              <a:solidFill>
                <a:srgbClr val="000000"/>
              </a:solidFill>
              <a:latin typeface="Arial"/>
              <a:cs typeface="Arial"/>
            </a:rPr>
            <a:t>indicator displayed by the sheet.</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Country Profile tab</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tab provides a detailed breakdown and justification of indicator scores and score changes since</a:t>
          </a:r>
        </a:p>
        <a:p>
          <a:pPr algn="l" rtl="0">
            <a:defRPr sz="1000"/>
          </a:pPr>
          <a:r>
            <a:rPr lang="en-US" sz="1000" b="0" i="0" u="none" strike="noStrike" baseline="0">
              <a:solidFill>
                <a:srgbClr val="000000"/>
              </a:solidFill>
              <a:latin typeface="Arial"/>
              <a:cs typeface="Arial"/>
            </a:rPr>
            <a:t>2007, by country. Each indicator score is justified on the right hand side, and indicator descriptions are </a:t>
          </a:r>
        </a:p>
        <a:p>
          <a:pPr algn="l" rtl="0">
            <a:defRPr sz="1000"/>
          </a:pPr>
          <a:r>
            <a:rPr lang="en-US" sz="1000" b="0" i="0" u="none" strike="noStrike" baseline="0">
              <a:solidFill>
                <a:srgbClr val="000000"/>
              </a:solidFill>
              <a:latin typeface="Arial"/>
              <a:cs typeface="Arial"/>
            </a:rPr>
            <a:t>provided on the left. Scoring criteria are also outlined in more detail. A drop-down menu allows users to</a:t>
          </a:r>
        </a:p>
        <a:p>
          <a:pPr algn="l" rtl="0">
            <a:defRPr sz="1000"/>
          </a:pPr>
          <a:r>
            <a:rPr lang="en-US" sz="1000" b="0" i="0" u="none" strike="noStrike" baseline="0">
              <a:solidFill>
                <a:srgbClr val="000000"/>
              </a:solidFill>
              <a:latin typeface="Arial"/>
              <a:cs typeface="Arial"/>
            </a:rPr>
            <a:t>select the country shown. The number next to the indicator description provides the 2008 indicator score,</a:t>
          </a:r>
        </a:p>
        <a:p>
          <a:pPr algn="l" rtl="0">
            <a:defRPr sz="1000"/>
          </a:pPr>
          <a:r>
            <a:rPr lang="en-US" sz="1000" b="0" i="0" u="none" strike="noStrike" baseline="0">
              <a:solidFill>
                <a:srgbClr val="000000"/>
              </a:solidFill>
              <a:latin typeface="Arial"/>
              <a:cs typeface="Arial"/>
            </a:rPr>
            <a:t>whereas the number next to the text justification on the right shows the net indicator or category score change </a:t>
          </a:r>
        </a:p>
        <a:p>
          <a:pPr algn="l" rtl="0">
            <a:defRPr sz="1000"/>
          </a:pPr>
          <a:r>
            <a:rPr lang="en-US" sz="1000" b="0" i="0" u="none" strike="noStrike" baseline="0">
              <a:solidFill>
                <a:srgbClr val="000000"/>
              </a:solidFill>
              <a:latin typeface="Arial"/>
              <a:cs typeface="Arial"/>
            </a:rPr>
            <a:t>since 2007 (not to be confused with the 2007 score itself).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Comparator tab</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tab compares a smaller number of countries against each other (two to four) with attention to</a:t>
          </a:r>
        </a:p>
        <a:p>
          <a:pPr algn="l" rtl="0">
            <a:defRPr sz="1000"/>
          </a:pPr>
          <a:r>
            <a:rPr lang="en-US" sz="1000" b="0" i="0" u="none" strike="noStrike" baseline="0">
              <a:solidFill>
                <a:srgbClr val="000000"/>
              </a:solidFill>
              <a:latin typeface="Arial"/>
              <a:cs typeface="Arial"/>
            </a:rPr>
            <a:t>indicator scores. It is useful for exploring scoring differences and similarities between countries with tied</a:t>
          </a:r>
        </a:p>
        <a:p>
          <a:pPr algn="l" rtl="0">
            <a:defRPr sz="1000"/>
          </a:pPr>
          <a:r>
            <a:rPr lang="en-US" sz="1000" b="0" i="0" u="none" strike="noStrike" baseline="0">
              <a:solidFill>
                <a:srgbClr val="000000"/>
              </a:solidFill>
              <a:latin typeface="Arial"/>
              <a:cs typeface="Arial"/>
            </a:rPr>
            <a:t>ranks, or to spotlight and breakdown index performance by LAC subregion.</a:t>
          </a:r>
        </a:p>
        <a:p>
          <a:pPr algn="l" rtl="0">
            <a:defRPr sz="1000"/>
          </a:pPr>
          <a:r>
            <a:rPr lang="en-US" sz="1000" b="0" i="0" u="none" strike="noStrike" baseline="0">
              <a:solidFill>
                <a:srgbClr val="000000"/>
              </a:solidFill>
              <a:latin typeface="Arial"/>
              <a:cs typeface="Arial"/>
            </a:rPr>
            <a:t>Certain observations apply to the entire model. Red numbers indicate that a number has decreased,</a:t>
          </a:r>
        </a:p>
        <a:p>
          <a:pPr algn="l" rtl="0">
            <a:defRPr sz="1000"/>
          </a:pPr>
          <a:r>
            <a:rPr lang="en-US" sz="1000" b="0" i="0" u="none" strike="noStrike" baseline="0">
              <a:solidFill>
                <a:srgbClr val="000000"/>
              </a:solidFill>
              <a:latin typeface="Arial"/>
              <a:cs typeface="Arial"/>
            </a:rPr>
            <a:t>whereas green indicates improvement. A dash (-) indicates that a score did not change since 2007, and</a:t>
          </a:r>
        </a:p>
        <a:p>
          <a:pPr algn="l" rtl="0">
            <a:defRPr sz="1000"/>
          </a:pPr>
          <a:r>
            <a:rPr lang="en-US" sz="1000" b="0" i="0" u="none" strike="noStrike" baseline="0">
              <a:solidFill>
                <a:srgbClr val="000000"/>
              </a:solidFill>
              <a:latin typeface="Arial"/>
              <a:cs typeface="Arial"/>
            </a:rPr>
            <a:t>the word “new” indicates that a score change calculation for 2007-2008 is not possible since these</a:t>
          </a:r>
        </a:p>
        <a:p>
          <a:pPr algn="l" rtl="0">
            <a:defRPr sz="1000"/>
          </a:pPr>
          <a:r>
            <a:rPr lang="en-US" sz="1000" b="0" i="0" u="none" strike="noStrike" baseline="0">
              <a:solidFill>
                <a:srgbClr val="000000"/>
              </a:solidFill>
              <a:latin typeface="Arial"/>
              <a:cs typeface="Arial"/>
            </a:rPr>
            <a:t>countries were just recently introduced into the 2008 study. Tied scores are indicated in all rankings with</a:t>
          </a:r>
        </a:p>
        <a:p>
          <a:pPr algn="l" rtl="0">
            <a:defRPr sz="1000"/>
          </a:pPr>
          <a:r>
            <a:rPr lang="en-US" sz="1000" b="0" i="0" u="none" strike="noStrike" baseline="0">
              <a:solidFill>
                <a:srgbClr val="000000"/>
              </a:solidFill>
              <a:latin typeface="Arial"/>
              <a:cs typeface="Arial"/>
            </a:rPr>
            <a:t>an equals (=) sign next to the rank level. All tabs include drop-down menus at the top and centre or top</a:t>
          </a:r>
        </a:p>
        <a:p>
          <a:pPr algn="l" rtl="0">
            <a:defRPr sz="1000"/>
          </a:pPr>
          <a:r>
            <a:rPr lang="en-US" sz="1000" b="0" i="0" u="none" strike="noStrike" baseline="0">
              <a:solidFill>
                <a:srgbClr val="000000"/>
              </a:solidFill>
              <a:latin typeface="Arial"/>
              <a:cs typeface="Arial"/>
            </a:rPr>
            <a:t>right hand corner of the sheet that allows users to highlight a particular country.</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Weights tab</a:t>
          </a:r>
        </a:p>
        <a:p>
          <a:pPr algn="l" rtl="0">
            <a:defRPr sz="1000"/>
          </a:pPr>
          <a:r>
            <a:rPr lang="en-US" sz="1000" b="0" i="0" u="none" strike="noStrike" baseline="0">
              <a:solidFill>
                <a:srgbClr val="000000"/>
              </a:solidFill>
              <a:latin typeface="Arial"/>
              <a:cs typeface="Arial"/>
            </a:rPr>
            <a:t>Category and indicator weights can be adjusted on the "Weights" tab. These are currently set to a default of 40% for the Regulatory framework category, 20% for the Investment climate category and 40% for the Institutional development category. New model weights can be created by first selecting the "Userdefined" option from the drop down menu at the top of the worksheet, changing the numbers in the "Relative weight" column and then clicking the "Save profile button" to the right of the drop down menu. Overall and category scores will automatically adjust for the new user defined weights. To return to the default setting, simply select the "Study specific (default)" option from the drop down menu. The model will then automatically return to its original state.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9525</xdr:rowOff>
    </xdr:from>
    <xdr:to>
      <xdr:col>0</xdr:col>
      <xdr:colOff>133350</xdr:colOff>
      <xdr:row>1</xdr:row>
      <xdr:rowOff>0</xdr:rowOff>
    </xdr:to>
    <xdr:sp macro="" textlink="">
      <xdr:nvSpPr>
        <xdr:cNvPr id="99375" name="Rectangle 1"/>
        <xdr:cNvSpPr>
          <a:spLocks noChangeArrowheads="1"/>
        </xdr:cNvSpPr>
      </xdr:nvSpPr>
      <xdr:spPr bwMode="auto">
        <a:xfrm>
          <a:off x="0" y="9525"/>
          <a:ext cx="133350" cy="257175"/>
        </a:xfrm>
        <a:prstGeom prst="rect">
          <a:avLst/>
        </a:prstGeom>
        <a:solidFill>
          <a:srgbClr val="FF0000"/>
        </a:solidFill>
        <a:ln w="9525">
          <a:noFill/>
          <a:miter lim="800000"/>
          <a:headEnd/>
          <a:tailEnd/>
        </a:ln>
      </xdr:spPr>
    </xdr:sp>
    <xdr:clientData/>
  </xdr:twoCellAnchor>
  <xdr:twoCellAnchor>
    <xdr:from>
      <xdr:col>14</xdr:col>
      <xdr:colOff>497680</xdr:colOff>
      <xdr:row>0</xdr:row>
      <xdr:rowOff>42862</xdr:rowOff>
    </xdr:from>
    <xdr:to>
      <xdr:col>15</xdr:col>
      <xdr:colOff>595312</xdr:colOff>
      <xdr:row>0</xdr:row>
      <xdr:rowOff>214313</xdr:rowOff>
    </xdr:to>
    <xdr:sp macro="" textlink="">
      <xdr:nvSpPr>
        <xdr:cNvPr id="3" name="Text Box 3"/>
        <xdr:cNvSpPr txBox="1">
          <a:spLocks noChangeArrowheads="1"/>
        </xdr:cNvSpPr>
      </xdr:nvSpPr>
      <xdr:spPr bwMode="auto">
        <a:xfrm>
          <a:off x="4098130" y="42862"/>
          <a:ext cx="1164432" cy="17145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0" i="0" strike="noStrike">
              <a:solidFill>
                <a:srgbClr val="333333"/>
              </a:solidFill>
              <a:latin typeface="Verdana"/>
            </a:rPr>
            <a:t>Highlight country:</a:t>
          </a:r>
        </a:p>
      </xdr:txBody>
    </xdr:sp>
    <xdr:clientData/>
  </xdr:twoCellAnchor>
  <xdr:twoCellAnchor>
    <xdr:from>
      <xdr:col>2</xdr:col>
      <xdr:colOff>-1</xdr:colOff>
      <xdr:row>24</xdr:row>
      <xdr:rowOff>38100</xdr:rowOff>
    </xdr:from>
    <xdr:to>
      <xdr:col>14</xdr:col>
      <xdr:colOff>869155</xdr:colOff>
      <xdr:row>27</xdr:row>
      <xdr:rowOff>142875</xdr:rowOff>
    </xdr:to>
    <xdr:sp macro="" textlink="">
      <xdr:nvSpPr>
        <xdr:cNvPr id="4" name="Text Box 8"/>
        <xdr:cNvSpPr txBox="1">
          <a:spLocks noChangeArrowheads="1"/>
        </xdr:cNvSpPr>
      </xdr:nvSpPr>
      <xdr:spPr bwMode="auto">
        <a:xfrm>
          <a:off x="309562" y="5562600"/>
          <a:ext cx="5119687" cy="604838"/>
        </a:xfrm>
        <a:prstGeom prst="rect">
          <a:avLst/>
        </a:prstGeom>
        <a:solidFill>
          <a:srgbClr val="E5EEF3"/>
        </a:solidFill>
        <a:ln w="9525">
          <a:noFill/>
          <a:miter lim="800000"/>
          <a:headEnd/>
          <a:tailEnd/>
        </a:ln>
      </xdr:spPr>
      <xdr:txBody>
        <a:bodyPr vertOverflow="clip" wrap="square" lIns="90000" tIns="36000" rIns="90000" bIns="46800" anchor="t" upright="1"/>
        <a:lstStyle/>
        <a:p>
          <a:pPr algn="l" rtl="0">
            <a:defRPr sz="1000"/>
          </a:pPr>
          <a:r>
            <a:rPr lang="en-US" sz="1000" b="0" i="0" u="none" strike="noStrike" baseline="0">
              <a:solidFill>
                <a:srgbClr val="000000"/>
              </a:solidFill>
              <a:latin typeface="Verdana"/>
            </a:rPr>
            <a:t>All scored 0-100 where 100=best</a:t>
          </a:r>
        </a:p>
        <a:p>
          <a:pPr algn="l" rtl="0">
            <a:defRPr sz="1000"/>
          </a:pPr>
          <a:r>
            <a:rPr lang="en-US" sz="1000" b="0" i="0" u="none" strike="noStrike" baseline="0">
              <a:solidFill>
                <a:srgbClr val="000000"/>
              </a:solidFill>
              <a:latin typeface="Verdana"/>
            </a:rPr>
            <a:t>1) Rank change when compared with original 15 countries from 2007</a:t>
          </a:r>
        </a:p>
        <a:p>
          <a:pPr algn="l" rtl="0">
            <a:defRPr sz="1000"/>
          </a:pPr>
          <a:r>
            <a:rPr lang="en-US" sz="1000" b="0" i="0" u="none" strike="noStrike" baseline="0">
              <a:solidFill>
                <a:srgbClr val="000000"/>
              </a:solidFill>
              <a:latin typeface="Verdana"/>
            </a:rPr>
            <a:t>2) Rank change when compared with all 20 countries</a:t>
          </a:r>
        </a:p>
      </xdr:txBody>
    </xdr:sp>
    <xdr:clientData/>
  </xdr:twoCellAnchor>
  <xdr:twoCellAnchor>
    <xdr:from>
      <xdr:col>14</xdr:col>
      <xdr:colOff>752475</xdr:colOff>
      <xdr:row>24</xdr:row>
      <xdr:rowOff>38100</xdr:rowOff>
    </xdr:from>
    <xdr:to>
      <xdr:col>32</xdr:col>
      <xdr:colOff>9525</xdr:colOff>
      <xdr:row>27</xdr:row>
      <xdr:rowOff>142875</xdr:rowOff>
    </xdr:to>
    <xdr:sp macro="" textlink="">
      <xdr:nvSpPr>
        <xdr:cNvPr id="99378" name="Text Box 8"/>
        <xdr:cNvSpPr txBox="1">
          <a:spLocks noChangeArrowheads="1"/>
        </xdr:cNvSpPr>
      </xdr:nvSpPr>
      <xdr:spPr bwMode="auto">
        <a:xfrm>
          <a:off x="5457825" y="5610225"/>
          <a:ext cx="6562725" cy="590550"/>
        </a:xfrm>
        <a:prstGeom prst="rect">
          <a:avLst/>
        </a:prstGeom>
        <a:solidFill>
          <a:srgbClr val="E5EEF3"/>
        </a:solidFill>
        <a:ln w="9525">
          <a:noFill/>
          <a:miter lim="800000"/>
          <a:headEnd/>
          <a:tailEnd/>
        </a:ln>
      </xdr:spPr>
      <xdr:txBody>
        <a:bodyPr vertOverflow="clip" wrap="square" lIns="90000" tIns="36000" rIns="90000" bIns="46800" anchor="t" upright="1"/>
        <a:lstStyle/>
        <a:p>
          <a:pPr algn="l" rtl="0">
            <a:defRPr sz="1000"/>
          </a:pPr>
          <a:r>
            <a:rPr lang="en-US" sz="1000" b="1" i="0" u="none" strike="noStrike" baseline="0">
              <a:solidFill>
                <a:srgbClr val="000000"/>
              </a:solidFill>
              <a:latin typeface="Verdana"/>
            </a:rPr>
            <a:t>LEGEND</a:t>
          </a:r>
          <a:endParaRPr lang="en-US" sz="1000" b="0" i="0" u="none" strike="noStrike" baseline="0">
            <a:solidFill>
              <a:srgbClr val="000000"/>
            </a:solidFill>
            <a:latin typeface="Verdana"/>
          </a:endParaRPr>
        </a:p>
        <a:p>
          <a:pPr algn="l" rtl="0">
            <a:defRPr sz="1000"/>
          </a:pPr>
          <a:r>
            <a:rPr lang="en-US" sz="1000" b="0" i="0" u="none" strike="noStrike" baseline="0">
              <a:solidFill>
                <a:srgbClr val="000000"/>
              </a:solidFill>
              <a:latin typeface="Verdana"/>
            </a:rPr>
            <a:t>The equals sign "=" indicates tied ranks. A green "+" indicates score/rank increase, a red "-" indicates score/rank decrease and a grey "-" indicates no change in score/rank</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9525</xdr:rowOff>
    </xdr:from>
    <xdr:to>
      <xdr:col>0</xdr:col>
      <xdr:colOff>133350</xdr:colOff>
      <xdr:row>1</xdr:row>
      <xdr:rowOff>0</xdr:rowOff>
    </xdr:to>
    <xdr:sp macro="" textlink="">
      <xdr:nvSpPr>
        <xdr:cNvPr id="63622" name="Rectangle 1"/>
        <xdr:cNvSpPr>
          <a:spLocks noChangeArrowheads="1"/>
        </xdr:cNvSpPr>
      </xdr:nvSpPr>
      <xdr:spPr bwMode="auto">
        <a:xfrm>
          <a:off x="0" y="9525"/>
          <a:ext cx="133350" cy="257175"/>
        </a:xfrm>
        <a:prstGeom prst="rect">
          <a:avLst/>
        </a:prstGeom>
        <a:solidFill>
          <a:srgbClr val="FF0000"/>
        </a:solidFill>
        <a:ln w="9525">
          <a:noFill/>
          <a:miter lim="800000"/>
          <a:headEnd/>
          <a:tailEnd/>
        </a:ln>
      </xdr:spPr>
    </xdr:sp>
    <xdr:clientData/>
  </xdr:twoCellAnchor>
  <xdr:twoCellAnchor>
    <xdr:from>
      <xdr:col>14</xdr:col>
      <xdr:colOff>176211</xdr:colOff>
      <xdr:row>0</xdr:row>
      <xdr:rowOff>42862</xdr:rowOff>
    </xdr:from>
    <xdr:to>
      <xdr:col>18</xdr:col>
      <xdr:colOff>0</xdr:colOff>
      <xdr:row>0</xdr:row>
      <xdr:rowOff>214313</xdr:rowOff>
    </xdr:to>
    <xdr:sp macro="" textlink="">
      <xdr:nvSpPr>
        <xdr:cNvPr id="3" name="Text Box 3"/>
        <xdr:cNvSpPr txBox="1">
          <a:spLocks noChangeArrowheads="1"/>
        </xdr:cNvSpPr>
      </xdr:nvSpPr>
      <xdr:spPr bwMode="auto">
        <a:xfrm>
          <a:off x="5057774" y="42862"/>
          <a:ext cx="1169195" cy="17145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0" i="0" strike="noStrike">
              <a:solidFill>
                <a:srgbClr val="333333"/>
              </a:solidFill>
              <a:latin typeface="Verdana"/>
            </a:rPr>
            <a:t>Highlight country:</a:t>
          </a:r>
        </a:p>
      </xdr:txBody>
    </xdr:sp>
    <xdr:clientData/>
  </xdr:twoCellAnchor>
  <xdr:twoCellAnchor>
    <xdr:from>
      <xdr:col>2</xdr:col>
      <xdr:colOff>2381</xdr:colOff>
      <xdr:row>20</xdr:row>
      <xdr:rowOff>38100</xdr:rowOff>
    </xdr:from>
    <xdr:to>
      <xdr:col>11</xdr:col>
      <xdr:colOff>52388</xdr:colOff>
      <xdr:row>21</xdr:row>
      <xdr:rowOff>114300</xdr:rowOff>
    </xdr:to>
    <xdr:sp macro="" textlink="">
      <xdr:nvSpPr>
        <xdr:cNvPr id="4" name="Text Box 8"/>
        <xdr:cNvSpPr txBox="1">
          <a:spLocks noChangeArrowheads="1"/>
        </xdr:cNvSpPr>
      </xdr:nvSpPr>
      <xdr:spPr bwMode="auto">
        <a:xfrm>
          <a:off x="304800" y="5610225"/>
          <a:ext cx="3033713" cy="238125"/>
        </a:xfrm>
        <a:prstGeom prst="rect">
          <a:avLst/>
        </a:prstGeom>
        <a:solidFill>
          <a:srgbClr val="E5EEF3"/>
        </a:solidFill>
        <a:ln w="9525">
          <a:noFill/>
          <a:miter lim="800000"/>
          <a:headEnd/>
          <a:tailEnd/>
        </a:ln>
      </xdr:spPr>
      <xdr:txBody>
        <a:bodyPr vertOverflow="clip" wrap="square" lIns="90000" tIns="36000" rIns="90000" bIns="46800" anchor="t" upright="1"/>
        <a:lstStyle/>
        <a:p>
          <a:pPr algn="l" rtl="0">
            <a:defRPr sz="1000"/>
          </a:pPr>
          <a:r>
            <a:rPr lang="en-US" sz="1000" b="0" i="0" strike="noStrike">
              <a:solidFill>
                <a:srgbClr val="808080"/>
              </a:solidFill>
              <a:latin typeface="Verdana"/>
            </a:rPr>
            <a:t>All scored 0-100 where 100=best</a:t>
          </a:r>
        </a:p>
      </xdr:txBody>
    </xdr:sp>
    <xdr:clientData/>
  </xdr:twoCellAnchor>
  <xdr:twoCellAnchor>
    <xdr:from>
      <xdr:col>4</xdr:col>
      <xdr:colOff>28575</xdr:colOff>
      <xdr:row>22</xdr:row>
      <xdr:rowOff>0</xdr:rowOff>
    </xdr:from>
    <xdr:to>
      <xdr:col>23</xdr:col>
      <xdr:colOff>952500</xdr:colOff>
      <xdr:row>25</xdr:row>
      <xdr:rowOff>104775</xdr:rowOff>
    </xdr:to>
    <xdr:sp macro="" textlink="">
      <xdr:nvSpPr>
        <xdr:cNvPr id="63625" name="Text Box 8"/>
        <xdr:cNvSpPr txBox="1">
          <a:spLocks noChangeArrowheads="1"/>
        </xdr:cNvSpPr>
      </xdr:nvSpPr>
      <xdr:spPr bwMode="auto">
        <a:xfrm>
          <a:off x="333375" y="5010150"/>
          <a:ext cx="6562725" cy="590550"/>
        </a:xfrm>
        <a:prstGeom prst="rect">
          <a:avLst/>
        </a:prstGeom>
        <a:solidFill>
          <a:srgbClr val="E5EEF3"/>
        </a:solidFill>
        <a:ln w="9525">
          <a:noFill/>
          <a:miter lim="800000"/>
          <a:headEnd/>
          <a:tailEnd/>
        </a:ln>
      </xdr:spPr>
      <xdr:txBody>
        <a:bodyPr vertOverflow="clip" wrap="square" lIns="90000" tIns="36000" rIns="90000" bIns="46800" anchor="t" upright="1"/>
        <a:lstStyle/>
        <a:p>
          <a:pPr algn="l" rtl="0">
            <a:defRPr sz="1000"/>
          </a:pPr>
          <a:r>
            <a:rPr lang="en-US" sz="1000" b="1" i="0" u="none" strike="noStrike" baseline="0">
              <a:solidFill>
                <a:srgbClr val="000000"/>
              </a:solidFill>
              <a:latin typeface="Verdana"/>
            </a:rPr>
            <a:t>LEGEND</a:t>
          </a:r>
          <a:endParaRPr lang="en-US" sz="1000" b="0" i="0" u="none" strike="noStrike" baseline="0">
            <a:solidFill>
              <a:srgbClr val="000000"/>
            </a:solidFill>
            <a:latin typeface="Verdana"/>
          </a:endParaRPr>
        </a:p>
        <a:p>
          <a:pPr algn="l" rtl="0">
            <a:defRPr sz="1000"/>
          </a:pPr>
          <a:r>
            <a:rPr lang="en-US" sz="1000" b="0" i="0" u="none" strike="noStrike" baseline="0">
              <a:solidFill>
                <a:srgbClr val="000000"/>
              </a:solidFill>
              <a:latin typeface="Verdana"/>
            </a:rPr>
            <a:t>The equals sign "=" indicates tied ranks. A green "+" indicates score/rank increase, a red "-" indicates score/rank decrease and a grey "-" indicates no change in score/rank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6"/>
  <dimension ref="B2:C19"/>
  <sheetViews>
    <sheetView workbookViewId="0">
      <selection activeCell="B20" sqref="B20"/>
    </sheetView>
  </sheetViews>
  <sheetFormatPr defaultRowHeight="12.75"/>
  <sheetData>
    <row r="2" spans="2:3">
      <c r="B2" s="189" t="s">
        <v>171</v>
      </c>
    </row>
    <row r="4" spans="2:3">
      <c r="B4" s="189" t="s">
        <v>170</v>
      </c>
    </row>
    <row r="5" spans="2:3">
      <c r="B5" s="157"/>
      <c r="C5" s="189"/>
    </row>
    <row r="6" spans="2:3">
      <c r="B6" s="189" t="s">
        <v>172</v>
      </c>
    </row>
    <row r="7" spans="2:3">
      <c r="B7" s="157"/>
    </row>
    <row r="8" spans="2:3">
      <c r="B8" s="189" t="s">
        <v>173</v>
      </c>
    </row>
    <row r="9" spans="2:3">
      <c r="B9" s="157"/>
      <c r="C9" s="157"/>
    </row>
    <row r="10" spans="2:3">
      <c r="B10" s="157"/>
    </row>
    <row r="12" spans="2:3">
      <c r="B12" s="189" t="s">
        <v>174</v>
      </c>
    </row>
    <row r="16" spans="2:3">
      <c r="B16" s="189" t="s">
        <v>175</v>
      </c>
    </row>
    <row r="18" spans="2:3">
      <c r="B18" s="189" t="s">
        <v>176</v>
      </c>
    </row>
    <row r="19" spans="2:3">
      <c r="C19" s="189" t="s">
        <v>177</v>
      </c>
    </row>
  </sheetData>
  <phoneticPr fontId="59"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
  <sheetViews>
    <sheetView showGridLines="0" showRowColHeaders="0" workbookViewId="0">
      <selection activeCell="O14" sqref="O14"/>
    </sheetView>
  </sheetViews>
  <sheetFormatPr defaultRowHeight="12.75"/>
  <cols>
    <col min="1" max="16384" width="9.140625" style="214"/>
  </cols>
  <sheetData/>
  <phoneticPr fontId="62" type="noConversion"/>
  <pageMargins left="0.75" right="0.75" top="1" bottom="1" header="0.5" footer="0.5"/>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sheetPr codeName="Sheet25">
    <pageSetUpPr fitToPage="1"/>
  </sheetPr>
  <dimension ref="A1:CX23"/>
  <sheetViews>
    <sheetView showGridLines="0" showRowColHeaders="0" zoomScale="80" zoomScaleNormal="80" workbookViewId="0">
      <selection activeCell="Y11" sqref="Y11"/>
    </sheetView>
  </sheetViews>
  <sheetFormatPr defaultRowHeight="12.75"/>
  <cols>
    <col min="1" max="1" width="2.140625" customWidth="1"/>
    <col min="2" max="2" width="2.42578125" customWidth="1"/>
    <col min="3" max="3" width="0.85546875" customWidth="1"/>
    <col min="4" max="4" width="4.5703125" customWidth="1"/>
    <col min="5" max="5" width="16.85546875" customWidth="1"/>
    <col min="7" max="7" width="7.42578125" customWidth="1"/>
    <col min="8" max="8" width="3" hidden="1" customWidth="1"/>
    <col min="9" max="9" width="8.42578125" customWidth="1"/>
    <col min="10" max="10" width="3" hidden="1" customWidth="1"/>
    <col min="11" max="11" width="7.7109375" customWidth="1"/>
    <col min="12" max="12" width="5.7109375" hidden="1" customWidth="1"/>
    <col min="13" max="13" width="5.5703125" customWidth="1"/>
    <col min="14" max="14" width="5.42578125" customWidth="1"/>
    <col min="15" max="15" width="16" customWidth="1"/>
    <col min="17" max="17" width="7.42578125" customWidth="1"/>
    <col min="18" max="18" width="2.7109375" hidden="1" customWidth="1"/>
    <col min="19" max="19" width="8.42578125" customWidth="1"/>
    <col min="20" max="20" width="3.28515625" hidden="1" customWidth="1"/>
    <col min="21" max="21" width="8.42578125" customWidth="1"/>
    <col min="22" max="22" width="3" hidden="1" customWidth="1"/>
    <col min="23" max="23" width="5.28515625" customWidth="1"/>
    <col min="24" max="24" width="4.28515625" customWidth="1"/>
    <col min="25" max="25" width="16.140625" customWidth="1"/>
    <col min="27" max="27" width="8.42578125" customWidth="1"/>
    <col min="28" max="28" width="3.28515625" style="186" hidden="1" customWidth="1"/>
    <col min="29" max="29" width="8.42578125" style="186" customWidth="1"/>
    <col min="30" max="30" width="3.28515625" style="186" hidden="1" customWidth="1"/>
    <col min="31" max="31" width="8.42578125" style="186" customWidth="1"/>
    <col min="32" max="32" width="2.7109375" hidden="1" customWidth="1"/>
    <col min="33" max="34" width="4.85546875" customWidth="1"/>
    <col min="35" max="35" width="16" customWidth="1"/>
    <col min="36" max="36" width="8.28515625" customWidth="1"/>
    <col min="37" max="37" width="7.28515625" customWidth="1"/>
    <col min="38" max="38" width="4.42578125" style="186" hidden="1" customWidth="1"/>
    <col min="39" max="39" width="8.42578125" customWidth="1"/>
    <col min="40" max="40" width="4.140625" hidden="1" customWidth="1"/>
    <col min="41" max="41" width="8.42578125" customWidth="1"/>
    <col min="42" max="42" width="3.140625" style="186" hidden="1" customWidth="1"/>
  </cols>
  <sheetData>
    <row r="1" spans="1:102" s="9" customFormat="1" ht="21" customHeight="1">
      <c r="A1" s="21" t="s">
        <v>549</v>
      </c>
      <c r="B1" s="21"/>
      <c r="D1" s="7"/>
      <c r="E1" s="7"/>
      <c r="F1" s="7"/>
      <c r="G1" s="7"/>
      <c r="H1" s="7"/>
      <c r="I1" s="7"/>
      <c r="J1" s="7"/>
      <c r="K1" s="7"/>
      <c r="L1" s="21"/>
      <c r="M1" s="7"/>
      <c r="N1" s="7"/>
      <c r="O1" s="7"/>
      <c r="P1" s="7"/>
      <c r="Q1" s="7"/>
      <c r="R1" s="7"/>
      <c r="S1" s="7"/>
      <c r="T1" s="7"/>
      <c r="U1" s="7"/>
      <c r="V1" s="7"/>
      <c r="W1" s="7"/>
      <c r="X1" s="7"/>
      <c r="Y1" s="7"/>
      <c r="Z1" s="7"/>
      <c r="AA1" s="7"/>
      <c r="AB1" s="185"/>
      <c r="AC1" s="185"/>
      <c r="AD1" s="185"/>
      <c r="AE1" s="185"/>
      <c r="AF1" s="7"/>
      <c r="AH1" s="7"/>
      <c r="AI1" s="7"/>
      <c r="AJ1" s="7"/>
      <c r="AK1" s="7"/>
      <c r="AL1" s="185"/>
      <c r="AM1" s="8"/>
      <c r="AN1" s="7"/>
      <c r="AO1" s="7"/>
      <c r="AP1" s="185"/>
      <c r="AQ1" s="7"/>
      <c r="AR1" s="7"/>
      <c r="AT1" s="7"/>
      <c r="AU1" s="7"/>
      <c r="BK1" s="10"/>
      <c r="BL1" s="10"/>
      <c r="BM1" s="10"/>
      <c r="BN1" s="10"/>
      <c r="BQ1" s="11"/>
      <c r="BR1" s="11"/>
      <c r="BS1" s="11"/>
      <c r="BT1" s="11"/>
      <c r="BU1" s="11"/>
      <c r="BV1" s="11"/>
      <c r="BW1" s="11"/>
      <c r="BX1" s="11"/>
      <c r="BY1" s="11"/>
      <c r="BZ1" s="11"/>
      <c r="CB1" s="11"/>
      <c r="CC1" s="11"/>
      <c r="CD1" s="11"/>
      <c r="CE1" s="11"/>
      <c r="CF1" s="11"/>
      <c r="CG1" s="11"/>
      <c r="CH1" s="11"/>
      <c r="CI1" s="11"/>
      <c r="CJ1" s="11"/>
      <c r="CK1" s="11"/>
      <c r="CL1" s="11"/>
      <c r="CN1" s="11"/>
      <c r="CO1" s="11"/>
      <c r="CP1" s="11"/>
      <c r="CQ1" s="11"/>
      <c r="CR1" s="11"/>
      <c r="CS1" s="11"/>
      <c r="CT1" s="11"/>
      <c r="CU1" s="11"/>
      <c r="CV1" s="11"/>
      <c r="CW1" s="11"/>
      <c r="CX1" s="11"/>
    </row>
    <row r="2" spans="1:102" ht="20.25" customHeight="1">
      <c r="A2" s="106" t="str">
        <f ca="1">uxb_globals!B5</f>
        <v>Peru</v>
      </c>
      <c r="B2" s="106"/>
      <c r="L2" s="106"/>
    </row>
    <row r="3" spans="1:102" ht="24.75" customHeight="1">
      <c r="A3" s="106"/>
      <c r="B3" s="106"/>
      <c r="D3" s="111" t="s">
        <v>484</v>
      </c>
      <c r="E3" s="12"/>
      <c r="F3" s="191">
        <v>2008</v>
      </c>
      <c r="G3" s="191" t="s">
        <v>160</v>
      </c>
      <c r="H3" s="191"/>
      <c r="I3" s="191" t="s">
        <v>553</v>
      </c>
      <c r="K3" s="191" t="s">
        <v>554</v>
      </c>
      <c r="L3" s="106"/>
      <c r="N3" s="110" t="str">
        <f ca="1">uxb_scores_2007!C4</f>
        <v xml:space="preserve">Regulatory Framework </v>
      </c>
      <c r="O3" s="17"/>
      <c r="P3" s="209">
        <v>2008</v>
      </c>
      <c r="Q3" s="210" t="s">
        <v>160</v>
      </c>
      <c r="S3" s="210" t="s">
        <v>558</v>
      </c>
      <c r="U3" s="210" t="s">
        <v>559</v>
      </c>
      <c r="X3" s="110" t="str">
        <f ca="1">uxb_scores_2007!C5</f>
        <v>Investment Climate</v>
      </c>
      <c r="Y3" s="17"/>
      <c r="Z3" s="209">
        <v>2008</v>
      </c>
      <c r="AA3" s="210" t="s">
        <v>160</v>
      </c>
      <c r="AB3" s="211"/>
      <c r="AC3" s="210" t="s">
        <v>556</v>
      </c>
      <c r="AD3" s="211"/>
      <c r="AE3" s="210" t="s">
        <v>557</v>
      </c>
      <c r="AH3" s="110" t="str">
        <f ca="1">uxb_scores_2007!C6</f>
        <v>Institutional Development</v>
      </c>
      <c r="AI3" s="17"/>
      <c r="AJ3" s="209">
        <v>2008</v>
      </c>
      <c r="AK3" s="210" t="s">
        <v>160</v>
      </c>
      <c r="AL3" s="211"/>
      <c r="AM3" s="210" t="s">
        <v>556</v>
      </c>
      <c r="AN3" s="211"/>
      <c r="AO3" s="210" t="s">
        <v>557</v>
      </c>
    </row>
    <row r="4" spans="1:102" ht="18" customHeight="1">
      <c r="A4" s="106">
        <v>1</v>
      </c>
      <c r="B4" s="106"/>
      <c r="D4" s="190">
        <f ca="1">IF(A4=0,"",uxb_ranking!BD8)</f>
        <v>1</v>
      </c>
      <c r="E4" s="14" t="str">
        <f ca="1">uxb_ranking!AI8</f>
        <v>Peru</v>
      </c>
      <c r="F4" s="15">
        <f ca="1">uxb_ranking!AP8</f>
        <v>76.599999999999994</v>
      </c>
      <c r="G4" s="190" t="str">
        <f ca="1">uxb_ranking!CM8</f>
        <v>+2.5</v>
      </c>
      <c r="H4">
        <f ca="1">uxb_ranking!CT8</f>
        <v>1</v>
      </c>
      <c r="I4" s="212" t="str">
        <f ca="1">uxb_ranking!AQ44</f>
        <v>+1</v>
      </c>
      <c r="J4">
        <f ca="1">uxb_ranking!AW44</f>
        <v>1</v>
      </c>
      <c r="K4" s="213" t="str">
        <f ca="1">uxb_ranking!DA8</f>
        <v>+1</v>
      </c>
      <c r="L4" s="186">
        <f ca="1">uxb_ranking!DH8</f>
        <v>1</v>
      </c>
      <c r="N4" s="190" t="str">
        <f ca="1">IF($A4=0,"",uxb_ranking!BE8)</f>
        <v>=1</v>
      </c>
      <c r="O4" s="14" t="str">
        <f ca="1">uxb_ranking!AJ8</f>
        <v>Bolivia</v>
      </c>
      <c r="P4" s="20">
        <f ca="1">uxb_ranking!AQ8</f>
        <v>87.5</v>
      </c>
      <c r="Q4" s="190" t="str">
        <f ca="1">uxb_ranking!CN8</f>
        <v>-12.5</v>
      </c>
      <c r="R4">
        <f ca="1">uxb_ranking!CU8</f>
        <v>-1</v>
      </c>
      <c r="S4" s="212" t="str">
        <f ca="1">uxb_ranking!AR44</f>
        <v>-</v>
      </c>
      <c r="T4">
        <f ca="1">uxb_ranking!AX44</f>
        <v>0</v>
      </c>
      <c r="U4" s="213" t="str">
        <f ca="1">uxb_ranking!DB8</f>
        <v>-</v>
      </c>
      <c r="V4">
        <f ca="1">uxb_ranking!DI8</f>
        <v>0</v>
      </c>
      <c r="X4" s="190">
        <f ca="1">IF($A4=0,"",uxb_ranking!BF8)</f>
        <v>1</v>
      </c>
      <c r="Y4" s="14" t="str">
        <f ca="1">uxb_ranking!AK8</f>
        <v>Chile</v>
      </c>
      <c r="Z4" s="20">
        <f ca="1">uxb_ranking!AR8</f>
        <v>74.2</v>
      </c>
      <c r="AA4" s="190" t="str">
        <f ca="1">uxb_ranking!CO8</f>
        <v>-0.8</v>
      </c>
      <c r="AB4" s="186">
        <f ca="1">uxb_ranking!CV8</f>
        <v>-1</v>
      </c>
      <c r="AC4" s="212" t="str">
        <f ca="1">uxb_ranking!AS44</f>
        <v>-</v>
      </c>
      <c r="AD4" s="186">
        <f ca="1">uxb_ranking!AY44</f>
        <v>0</v>
      </c>
      <c r="AE4" s="213" t="str">
        <f ca="1">uxb_ranking!DC8</f>
        <v>-</v>
      </c>
      <c r="AF4">
        <f ca="1">uxb_ranking!DJ8</f>
        <v>0</v>
      </c>
      <c r="AH4" s="190">
        <f ca="1">IF($A4=0,"",uxb_ranking!BG8)</f>
        <v>1</v>
      </c>
      <c r="AI4" s="14" t="str">
        <f ca="1">uxb_ranking!AL8</f>
        <v>Ecuador</v>
      </c>
      <c r="AJ4" s="20">
        <f ca="1">uxb_ranking!AS8</f>
        <v>83.3</v>
      </c>
      <c r="AK4" s="190" t="str">
        <f ca="1">uxb_ranking!CP8</f>
        <v>+8.3</v>
      </c>
      <c r="AL4" s="186">
        <f ca="1">uxb_ranking!CW8</f>
        <v>1</v>
      </c>
      <c r="AM4" s="212" t="str">
        <f ca="1">uxb_ranking!AT44</f>
        <v>-</v>
      </c>
      <c r="AN4">
        <f ca="1">uxb_ranking!AZ44</f>
        <v>0</v>
      </c>
      <c r="AO4" s="213" t="str">
        <f ca="1">uxb_ranking!DD8</f>
        <v>-</v>
      </c>
      <c r="AP4" s="186">
        <f ca="1">uxb_ranking!DK8</f>
        <v>0</v>
      </c>
    </row>
    <row r="5" spans="1:102" ht="18" customHeight="1">
      <c r="A5" s="106">
        <v>1</v>
      </c>
      <c r="B5" s="106"/>
      <c r="D5" s="190">
        <f ca="1">IF(A5=0,"",uxb_ranking!BD9)</f>
        <v>2</v>
      </c>
      <c r="E5" s="14" t="str">
        <f ca="1">uxb_ranking!AI9</f>
        <v>Bolivia</v>
      </c>
      <c r="F5" s="15">
        <f ca="1">uxb_ranking!AP9</f>
        <v>74.400000000000006</v>
      </c>
      <c r="G5" s="190" t="str">
        <f ca="1">uxb_ranking!CM9</f>
        <v>-5.0</v>
      </c>
      <c r="H5">
        <f ca="1">uxb_ranking!CT9</f>
        <v>-1</v>
      </c>
      <c r="I5" s="212" t="str">
        <f ca="1">uxb_ranking!AQ45</f>
        <v>-1</v>
      </c>
      <c r="J5">
        <f ca="1">uxb_ranking!AW45</f>
        <v>-1</v>
      </c>
      <c r="K5" s="213" t="str">
        <f ca="1">uxb_ranking!DA9</f>
        <v>-1</v>
      </c>
      <c r="L5" s="186">
        <f ca="1">uxb_ranking!DH9</f>
        <v>-1</v>
      </c>
      <c r="N5" s="190" t="str">
        <f ca="1">IF($A5=0,"",uxb_ranking!BE9)</f>
        <v>=1</v>
      </c>
      <c r="O5" s="14" t="str">
        <f ca="1">uxb_ranking!AJ9</f>
        <v>Peru</v>
      </c>
      <c r="P5" s="20">
        <f ca="1">uxb_ranking!AQ9</f>
        <v>87.5</v>
      </c>
      <c r="Q5" s="190" t="str">
        <f ca="1">uxb_ranking!CN9</f>
        <v>+6.2</v>
      </c>
      <c r="R5">
        <f ca="1">uxb_ranking!CU9</f>
        <v>1</v>
      </c>
      <c r="S5" s="212" t="str">
        <f ca="1">uxb_ranking!AR45</f>
        <v>+1</v>
      </c>
      <c r="T5">
        <f ca="1">uxb_ranking!AX45</f>
        <v>1</v>
      </c>
      <c r="U5" s="213" t="str">
        <f ca="1">uxb_ranking!DB9</f>
        <v>+1</v>
      </c>
      <c r="V5">
        <f ca="1">uxb_ranking!DI9</f>
        <v>1</v>
      </c>
      <c r="X5" s="190">
        <f ca="1">IF($A5=0,"",uxb_ranking!BF9)</f>
        <v>2</v>
      </c>
      <c r="Y5" s="14" t="str">
        <f ca="1">uxb_ranking!AK9</f>
        <v>Costa Rica</v>
      </c>
      <c r="Z5" s="20">
        <f ca="1">uxb_ranking!AR9</f>
        <v>59.7</v>
      </c>
      <c r="AA5" s="190" t="str">
        <f ca="1">uxb_ranking!CO9</f>
        <v>new</v>
      </c>
      <c r="AB5" s="186">
        <f ca="1">uxb_ranking!CV9</f>
        <v>0</v>
      </c>
      <c r="AC5" s="212" t="str">
        <f ca="1">uxb_ranking!AS45</f>
        <v/>
      </c>
      <c r="AD5" s="186" t="str">
        <f ca="1">uxb_ranking!AY45</f>
        <v/>
      </c>
      <c r="AE5" s="213" t="str">
        <f ca="1">uxb_ranking!DC9</f>
        <v/>
      </c>
      <c r="AF5">
        <f ca="1">uxb_ranking!DJ9</f>
        <v>0</v>
      </c>
      <c r="AH5" s="190" t="str">
        <f ca="1">IF($A5=0,"",uxb_ranking!BG9)</f>
        <v>=2</v>
      </c>
      <c r="AI5" s="14" t="str">
        <f ca="1">uxb_ranking!AL9</f>
        <v>Bolivia</v>
      </c>
      <c r="AJ5" s="20">
        <f ca="1">uxb_ranking!AS9</f>
        <v>75</v>
      </c>
      <c r="AK5" s="190" t="str">
        <f ca="1">uxb_ranking!CP9</f>
        <v>-</v>
      </c>
      <c r="AL5" s="186">
        <f ca="1">uxb_ranking!CW9</f>
        <v>0</v>
      </c>
      <c r="AM5" s="212" t="str">
        <f ca="1">uxb_ranking!AT45</f>
        <v>-1</v>
      </c>
      <c r="AN5">
        <f ca="1">uxb_ranking!AZ45</f>
        <v>-1</v>
      </c>
      <c r="AO5" s="213" t="str">
        <f ca="1">uxb_ranking!DD9</f>
        <v>-1</v>
      </c>
      <c r="AP5" s="186">
        <f ca="1">uxb_ranking!DK9</f>
        <v>-1</v>
      </c>
    </row>
    <row r="6" spans="1:102" ht="18" customHeight="1">
      <c r="A6" s="106">
        <v>1</v>
      </c>
      <c r="B6" s="106"/>
      <c r="D6" s="190">
        <f ca="1">IF(A6=0,"",uxb_ranking!BD10)</f>
        <v>3</v>
      </c>
      <c r="E6" s="14" t="str">
        <f ca="1">uxb_ranking!AI10</f>
        <v>Ecuador</v>
      </c>
      <c r="F6" s="15">
        <f ca="1">uxb_ranking!AP10</f>
        <v>69.7</v>
      </c>
      <c r="G6" s="190" t="str">
        <f ca="1">uxb_ranking!CM10</f>
        <v>+1.4</v>
      </c>
      <c r="H6">
        <f ca="1">uxb_ranking!CT10</f>
        <v>1</v>
      </c>
      <c r="I6" s="212" t="str">
        <f ca="1">uxb_ranking!AQ46</f>
        <v>-</v>
      </c>
      <c r="J6">
        <f ca="1">uxb_ranking!AW46</f>
        <v>0</v>
      </c>
      <c r="K6" s="213" t="str">
        <f ca="1">uxb_ranking!DA10</f>
        <v>-</v>
      </c>
      <c r="L6" s="186">
        <f ca="1">uxb_ranking!DH10</f>
        <v>0</v>
      </c>
      <c r="N6" s="190">
        <f ca="1">IF($A6=0,"",uxb_ranking!BE10)</f>
        <v>3</v>
      </c>
      <c r="O6" s="14" t="str">
        <f ca="1">uxb_ranking!AJ10</f>
        <v>Ecuador</v>
      </c>
      <c r="P6" s="20">
        <f ca="1">uxb_ranking!AQ10</f>
        <v>75</v>
      </c>
      <c r="Q6" s="190" t="str">
        <f ca="1">uxb_ranking!CN10</f>
        <v>-</v>
      </c>
      <c r="R6">
        <f ca="1">uxb_ranking!CU10</f>
        <v>0</v>
      </c>
      <c r="S6" s="212" t="str">
        <f ca="1">uxb_ranking!AR46</f>
        <v>-</v>
      </c>
      <c r="T6">
        <f ca="1">uxb_ranking!AX46</f>
        <v>0</v>
      </c>
      <c r="U6" s="213" t="str">
        <f ca="1">uxb_ranking!DB10</f>
        <v>-</v>
      </c>
      <c r="V6">
        <f ca="1">uxb_ranking!DI10</f>
        <v>0</v>
      </c>
      <c r="X6" s="190" t="str">
        <f ca="1">IF($A6=0,"",uxb_ranking!BF10)</f>
        <v>=3</v>
      </c>
      <c r="Y6" s="14" t="str">
        <f ca="1">uxb_ranking!AK10</f>
        <v>Mexico</v>
      </c>
      <c r="Z6" s="20">
        <f ca="1">uxb_ranking!AR10</f>
        <v>58.3</v>
      </c>
      <c r="AA6" s="190" t="str">
        <f ca="1">uxb_ranking!CO10</f>
        <v>-</v>
      </c>
      <c r="AB6" s="186">
        <f ca="1">uxb_ranking!CV10</f>
        <v>0</v>
      </c>
      <c r="AC6" s="212" t="str">
        <f ca="1">uxb_ranking!AS46</f>
        <v>+1</v>
      </c>
      <c r="AD6" s="186">
        <f ca="1">uxb_ranking!AY46</f>
        <v>1</v>
      </c>
      <c r="AE6" s="213" t="str">
        <f ca="1">uxb_ranking!DC10</f>
        <v>-</v>
      </c>
      <c r="AF6">
        <f ca="1">uxb_ranking!DJ10</f>
        <v>0</v>
      </c>
      <c r="AH6" s="190" t="str">
        <f ca="1">IF($A6=0,"",uxb_ranking!BG10)</f>
        <v>=2</v>
      </c>
      <c r="AI6" s="14" t="str">
        <f ca="1">uxb_ranking!AL10</f>
        <v>Peru</v>
      </c>
      <c r="AJ6" s="20">
        <f ca="1">uxb_ranking!AS10</f>
        <v>75</v>
      </c>
      <c r="AK6" s="190" t="str">
        <f ca="1">uxb_ranking!CP10</f>
        <v>-</v>
      </c>
      <c r="AL6" s="186">
        <f ca="1">uxb_ranking!CW10</f>
        <v>0</v>
      </c>
      <c r="AM6" s="212" t="str">
        <f ca="1">uxb_ranking!AT46</f>
        <v>-1</v>
      </c>
      <c r="AN6">
        <f ca="1">uxb_ranking!AZ46</f>
        <v>-1</v>
      </c>
      <c r="AO6" s="213" t="str">
        <f ca="1">uxb_ranking!DD10</f>
        <v>-1</v>
      </c>
      <c r="AP6" s="186">
        <f ca="1">uxb_ranking!DK10</f>
        <v>-1</v>
      </c>
    </row>
    <row r="7" spans="1:102" ht="18" customHeight="1">
      <c r="A7" s="106">
        <v>1</v>
      </c>
      <c r="B7" s="106"/>
      <c r="D7" s="190">
        <f ca="1">IF(A7=0,"",uxb_ranking!BD11)</f>
        <v>4</v>
      </c>
      <c r="E7" s="14" t="str">
        <f ca="1">uxb_ranking!AI11</f>
        <v>El Salvador</v>
      </c>
      <c r="F7" s="15">
        <f ca="1">uxb_ranking!AP11</f>
        <v>59</v>
      </c>
      <c r="G7" s="190" t="str">
        <f ca="1">uxb_ranking!CM11</f>
        <v>-2.5</v>
      </c>
      <c r="H7">
        <f ca="1">uxb_ranking!CT11</f>
        <v>-1</v>
      </c>
      <c r="I7" s="212" t="str">
        <f ca="1">uxb_ranking!AQ47</f>
        <v>-</v>
      </c>
      <c r="J7">
        <f ca="1">uxb_ranking!AW47</f>
        <v>0</v>
      </c>
      <c r="K7" s="213" t="str">
        <f ca="1">uxb_ranking!DA11</f>
        <v>-</v>
      </c>
      <c r="L7" s="186">
        <f ca="1">uxb_ranking!DH11</f>
        <v>0</v>
      </c>
      <c r="N7" s="190" t="str">
        <f ca="1">IF($A7=0,"",uxb_ranking!BE11)</f>
        <v>=4</v>
      </c>
      <c r="O7" s="14" t="str">
        <f ca="1">uxb_ranking!AJ11</f>
        <v>Colombia</v>
      </c>
      <c r="P7" s="20">
        <f ca="1">uxb_ranking!AQ11</f>
        <v>62.5</v>
      </c>
      <c r="Q7" s="190" t="str">
        <f ca="1">uxb_ranking!CN11</f>
        <v>+12.5</v>
      </c>
      <c r="R7">
        <f ca="1">uxb_ranking!CU11</f>
        <v>1</v>
      </c>
      <c r="S7" s="212" t="str">
        <f ca="1">uxb_ranking!AR47</f>
        <v>+4</v>
      </c>
      <c r="T7">
        <f ca="1">uxb_ranking!AX47</f>
        <v>1</v>
      </c>
      <c r="U7" s="213" t="str">
        <f ca="1">uxb_ranking!DB11</f>
        <v>+4</v>
      </c>
      <c r="V7">
        <f ca="1">uxb_ranking!DI11</f>
        <v>1</v>
      </c>
      <c r="X7" s="190" t="str">
        <f ca="1">IF($A7=0,"",uxb_ranking!BF11)</f>
        <v>=3</v>
      </c>
      <c r="Y7" s="14" t="str">
        <f ca="1">uxb_ranking!AK11</f>
        <v>Panama</v>
      </c>
      <c r="Z7" s="20">
        <f ca="1">uxb_ranking!AR11</f>
        <v>58.3</v>
      </c>
      <c r="AA7" s="190" t="str">
        <f ca="1">uxb_ranking!CO11</f>
        <v>new</v>
      </c>
      <c r="AB7" s="186">
        <f ca="1">uxb_ranking!CV11</f>
        <v>0</v>
      </c>
      <c r="AC7" s="212" t="str">
        <f ca="1">uxb_ranking!AS47</f>
        <v/>
      </c>
      <c r="AD7" s="186" t="str">
        <f ca="1">uxb_ranking!AY47</f>
        <v/>
      </c>
      <c r="AE7" s="213" t="str">
        <f ca="1">uxb_ranking!DC11</f>
        <v/>
      </c>
      <c r="AF7">
        <f ca="1">uxb_ranking!DJ11</f>
        <v>0</v>
      </c>
      <c r="AH7" s="190" t="str">
        <f ca="1">IF($A7=0,"",uxb_ranking!BG11)</f>
        <v>=4</v>
      </c>
      <c r="AI7" s="14" t="str">
        <f ca="1">uxb_ranking!AL11</f>
        <v>El Salvador</v>
      </c>
      <c r="AJ7" s="20">
        <f ca="1">uxb_ranking!AS11</f>
        <v>66.7</v>
      </c>
      <c r="AK7" s="190" t="str">
        <f ca="1">uxb_ranking!CP11</f>
        <v>-</v>
      </c>
      <c r="AL7" s="186">
        <f ca="1">uxb_ranking!CW11</f>
        <v>0</v>
      </c>
      <c r="AM7" s="212" t="str">
        <f ca="1">uxb_ranking!AT47</f>
        <v>+1</v>
      </c>
      <c r="AN7">
        <f ca="1">uxb_ranking!AZ47</f>
        <v>1</v>
      </c>
      <c r="AO7" s="213" t="str">
        <f ca="1">uxb_ranking!DD11</f>
        <v>+1</v>
      </c>
      <c r="AP7" s="186">
        <f ca="1">uxb_ranking!DK11</f>
        <v>1</v>
      </c>
    </row>
    <row r="8" spans="1:102" ht="18" customHeight="1">
      <c r="A8" s="106">
        <v>1</v>
      </c>
      <c r="B8" s="106"/>
      <c r="D8" s="190">
        <f ca="1">IF(A8=0,"",uxb_ranking!BD12)</f>
        <v>5</v>
      </c>
      <c r="E8" s="14" t="str">
        <f ca="1">uxb_ranking!AI12</f>
        <v>Colombia</v>
      </c>
      <c r="F8" s="15">
        <f ca="1">uxb_ranking!AP12</f>
        <v>58.6</v>
      </c>
      <c r="G8" s="190" t="str">
        <f ca="1">uxb_ranking!CM12</f>
        <v>+12.5</v>
      </c>
      <c r="H8">
        <f ca="1">uxb_ranking!CT12</f>
        <v>1</v>
      </c>
      <c r="I8" s="212" t="str">
        <f ca="1">uxb_ranking!AQ48</f>
        <v>+5</v>
      </c>
      <c r="J8">
        <f ca="1">uxb_ranking!AW48</f>
        <v>1</v>
      </c>
      <c r="K8" s="213" t="str">
        <f ca="1">uxb_ranking!DA12</f>
        <v>+5</v>
      </c>
      <c r="L8" s="186">
        <f ca="1">uxb_ranking!DH12</f>
        <v>1</v>
      </c>
      <c r="N8" s="190" t="str">
        <f ca="1">IF($A8=0,"",uxb_ranking!BE12)</f>
        <v>=4</v>
      </c>
      <c r="O8" s="14" t="str">
        <f ca="1">uxb_ranking!AJ12</f>
        <v>Paraguay</v>
      </c>
      <c r="P8" s="20">
        <f ca="1">uxb_ranking!AQ12</f>
        <v>62.5</v>
      </c>
      <c r="Q8" s="190" t="str">
        <f ca="1">uxb_ranking!CN12</f>
        <v>-</v>
      </c>
      <c r="R8">
        <f ca="1">uxb_ranking!CU12</f>
        <v>0</v>
      </c>
      <c r="S8" s="212" t="str">
        <f ca="1">uxb_ranking!AR48</f>
        <v>-</v>
      </c>
      <c r="T8">
        <f ca="1">uxb_ranking!AX48</f>
        <v>0</v>
      </c>
      <c r="U8" s="213" t="str">
        <f ca="1">uxb_ranking!DB12</f>
        <v>-</v>
      </c>
      <c r="V8">
        <f ca="1">uxb_ranking!DI12</f>
        <v>0</v>
      </c>
      <c r="X8" s="190">
        <f ca="1">IF($A8=0,"",uxb_ranking!BF12)</f>
        <v>5</v>
      </c>
      <c r="Y8" s="14" t="str">
        <f ca="1">uxb_ranking!AK12</f>
        <v>Peru</v>
      </c>
      <c r="Z8" s="20">
        <f ca="1">uxb_ranking!AR12</f>
        <v>58</v>
      </c>
      <c r="AA8" s="190" t="str">
        <f ca="1">uxb_ranking!CO12</f>
        <v>+0.1</v>
      </c>
      <c r="AB8" s="186">
        <f ca="1">uxb_ranking!CV12</f>
        <v>1</v>
      </c>
      <c r="AC8" s="212" t="str">
        <f ca="1">uxb_ranking!AS48</f>
        <v>+1</v>
      </c>
      <c r="AD8" s="186">
        <f ca="1">uxb_ranking!AY48</f>
        <v>1</v>
      </c>
      <c r="AE8" s="213" t="str">
        <f ca="1">uxb_ranking!DC12</f>
        <v>-1</v>
      </c>
      <c r="AF8">
        <f ca="1">uxb_ranking!DJ12</f>
        <v>-1</v>
      </c>
      <c r="AH8" s="190" t="str">
        <f ca="1">IF($A8=0,"",uxb_ranking!BG12)</f>
        <v>=4</v>
      </c>
      <c r="AI8" s="14" t="str">
        <f ca="1">uxb_ranking!AL12</f>
        <v>Nicaragua</v>
      </c>
      <c r="AJ8" s="20">
        <f ca="1">uxb_ranking!AS12</f>
        <v>66.7</v>
      </c>
      <c r="AK8" s="190" t="str">
        <f ca="1">uxb_ranking!CP12</f>
        <v>+8.4</v>
      </c>
      <c r="AL8" s="186">
        <f ca="1">uxb_ranking!CW12</f>
        <v>1</v>
      </c>
      <c r="AM8" s="212" t="str">
        <f ca="1">uxb_ranking!AT48</f>
        <v>+2</v>
      </c>
      <c r="AN8">
        <f ca="1">uxb_ranking!AZ48</f>
        <v>1</v>
      </c>
      <c r="AO8" s="213" t="str">
        <f ca="1">uxb_ranking!DD12</f>
        <v>+2</v>
      </c>
      <c r="AP8" s="186">
        <f ca="1">uxb_ranking!DK12</f>
        <v>1</v>
      </c>
    </row>
    <row r="9" spans="1:102" ht="18" customHeight="1">
      <c r="A9" s="106">
        <v>1</v>
      </c>
      <c r="B9" s="106"/>
      <c r="D9" s="190">
        <f ca="1">IF(A9=0,"",uxb_ranking!BD13)</f>
        <v>6</v>
      </c>
      <c r="E9" s="14" t="str">
        <f ca="1">uxb_ranking!AI13</f>
        <v>Nicaragua</v>
      </c>
      <c r="F9" s="15">
        <f ca="1">uxb_ranking!AP13</f>
        <v>58</v>
      </c>
      <c r="G9" s="190" t="str">
        <f ca="1">uxb_ranking!CM13</f>
        <v>+4.2</v>
      </c>
      <c r="H9">
        <f ca="1">uxb_ranking!CT13</f>
        <v>1</v>
      </c>
      <c r="I9" s="212" t="str">
        <f ca="1">uxb_ranking!AQ49</f>
        <v>-</v>
      </c>
      <c r="J9">
        <f ca="1">uxb_ranking!AW49</f>
        <v>0</v>
      </c>
      <c r="K9" s="213" t="str">
        <f ca="1">uxb_ranking!DA13</f>
        <v>-</v>
      </c>
      <c r="L9" s="186">
        <f ca="1">uxb_ranking!DH13</f>
        <v>0</v>
      </c>
      <c r="N9" s="190" t="str">
        <f ca="1">IF($A9=0,"",uxb_ranking!BE13)</f>
        <v>=6</v>
      </c>
      <c r="O9" s="14" t="str">
        <f ca="1">uxb_ranking!AJ13</f>
        <v>El Salvador</v>
      </c>
      <c r="P9" s="20">
        <f ca="1">uxb_ranking!AQ13</f>
        <v>56.3</v>
      </c>
      <c r="Q9" s="190" t="str">
        <f ca="1">uxb_ranking!CN13</f>
        <v>-6.2</v>
      </c>
      <c r="R9">
        <f ca="1">uxb_ranking!CU13</f>
        <v>-1</v>
      </c>
      <c r="S9" s="212" t="str">
        <f ca="1">uxb_ranking!AR49</f>
        <v>-2</v>
      </c>
      <c r="T9">
        <f ca="1">uxb_ranking!AX49</f>
        <v>-1</v>
      </c>
      <c r="U9" s="213" t="str">
        <f ca="1">uxb_ranking!DB13</f>
        <v>-2</v>
      </c>
      <c r="V9">
        <f ca="1">uxb_ranking!DI13</f>
        <v>-1</v>
      </c>
      <c r="X9" s="190">
        <f ca="1">IF($A9=0,"",uxb_ranking!BF13)</f>
        <v>6</v>
      </c>
      <c r="Y9" s="14" t="str">
        <f ca="1">uxb_ranking!AK13</f>
        <v>Jamaica</v>
      </c>
      <c r="Z9" s="20">
        <f ca="1">uxb_ranking!AR13</f>
        <v>55.8</v>
      </c>
      <c r="AA9" s="190" t="str">
        <f ca="1">uxb_ranking!CO13</f>
        <v>new</v>
      </c>
      <c r="AB9" s="186">
        <f ca="1">uxb_ranking!CV13</f>
        <v>0</v>
      </c>
      <c r="AC9" s="212" t="str">
        <f ca="1">uxb_ranking!AS49</f>
        <v/>
      </c>
      <c r="AD9" s="186" t="str">
        <f ca="1">uxb_ranking!AY49</f>
        <v/>
      </c>
      <c r="AE9" s="213" t="str">
        <f ca="1">uxb_ranking!DC13</f>
        <v/>
      </c>
      <c r="AF9">
        <f ca="1">uxb_ranking!DJ13</f>
        <v>0</v>
      </c>
      <c r="AH9" s="190" t="str">
        <f ca="1">IF($A9=0,"",uxb_ranking!BG13)</f>
        <v>=6</v>
      </c>
      <c r="AI9" s="14" t="str">
        <f ca="1">uxb_ranking!AL13</f>
        <v>Colombia</v>
      </c>
      <c r="AJ9" s="20">
        <f ca="1">uxb_ranking!AS13</f>
        <v>58.3</v>
      </c>
      <c r="AK9" s="190" t="str">
        <f ca="1">uxb_ranking!CP13</f>
        <v>+16.6</v>
      </c>
      <c r="AL9" s="186">
        <f ca="1">uxb_ranking!CW13</f>
        <v>1</v>
      </c>
      <c r="AM9" s="212" t="str">
        <f ca="1">uxb_ranking!AT49</f>
        <v>+2</v>
      </c>
      <c r="AN9">
        <f ca="1">uxb_ranking!AZ49</f>
        <v>1</v>
      </c>
      <c r="AO9" s="213" t="str">
        <f ca="1">uxb_ranking!DD13</f>
        <v>+2</v>
      </c>
      <c r="AP9" s="186">
        <f ca="1">uxb_ranking!DK13</f>
        <v>1</v>
      </c>
    </row>
    <row r="10" spans="1:102" ht="18" customHeight="1">
      <c r="A10" s="106">
        <v>1</v>
      </c>
      <c r="B10" s="106"/>
      <c r="D10" s="190">
        <f ca="1">IF(A10=0,"",uxb_ranking!BD14)</f>
        <v>7</v>
      </c>
      <c r="E10" s="14" t="str">
        <f ca="1">uxb_ranking!AI14</f>
        <v>Guatemala</v>
      </c>
      <c r="F10" s="15">
        <f ca="1">uxb_ranking!AP14</f>
        <v>54</v>
      </c>
      <c r="G10" s="190" t="str">
        <f ca="1">uxb_ranking!CM14</f>
        <v>+10.0</v>
      </c>
      <c r="H10">
        <f ca="1">uxb_ranking!CT14</f>
        <v>1</v>
      </c>
      <c r="I10" s="212" t="str">
        <f ca="1">uxb_ranking!AQ50</f>
        <v>+4</v>
      </c>
      <c r="J10">
        <f ca="1">uxb_ranking!AW50</f>
        <v>1</v>
      </c>
      <c r="K10" s="213" t="str">
        <f ca="1">uxb_ranking!DA14</f>
        <v>+4</v>
      </c>
      <c r="L10" s="186">
        <f ca="1">uxb_ranking!DH14</f>
        <v>1</v>
      </c>
      <c r="N10" s="190" t="str">
        <f ca="1">IF($A10=0,"",uxb_ranking!BE14)</f>
        <v>=6</v>
      </c>
      <c r="O10" s="14" t="str">
        <f ca="1">uxb_ranking!AJ14</f>
        <v>Guatemala</v>
      </c>
      <c r="P10" s="20">
        <f ca="1">uxb_ranking!AQ14</f>
        <v>56.3</v>
      </c>
      <c r="Q10" s="190" t="str">
        <f ca="1">uxb_ranking!CN14</f>
        <v>-</v>
      </c>
      <c r="R10">
        <f ca="1">uxb_ranking!CU14</f>
        <v>0</v>
      </c>
      <c r="S10" s="212" t="str">
        <f ca="1">uxb_ranking!AR50</f>
        <v>-</v>
      </c>
      <c r="T10">
        <f ca="1">uxb_ranking!AX50</f>
        <v>0</v>
      </c>
      <c r="U10" s="213" t="str">
        <f ca="1">uxb_ranking!DB14</f>
        <v>-</v>
      </c>
      <c r="V10">
        <f ca="1">uxb_ranking!DI14</f>
        <v>0</v>
      </c>
      <c r="X10" s="190">
        <f ca="1">IF($A10=0,"",uxb_ranking!BF14)</f>
        <v>7</v>
      </c>
      <c r="Y10" s="14" t="str">
        <f ca="1">uxb_ranking!AK14</f>
        <v>Brazil</v>
      </c>
      <c r="Z10" s="20">
        <f ca="1">uxb_ranking!AR14</f>
        <v>53.6</v>
      </c>
      <c r="AA10" s="190" t="str">
        <f ca="1">uxb_ranking!CO14</f>
        <v>-8.5</v>
      </c>
      <c r="AB10" s="186">
        <f ca="1">uxb_ranking!CV14</f>
        <v>-1</v>
      </c>
      <c r="AC10" s="212" t="str">
        <f ca="1">uxb_ranking!AS50</f>
        <v>-2</v>
      </c>
      <c r="AD10" s="186">
        <f ca="1">uxb_ranking!AY50</f>
        <v>-1</v>
      </c>
      <c r="AE10" s="213" t="str">
        <f ca="1">uxb_ranking!DC14</f>
        <v>-5</v>
      </c>
      <c r="AF10">
        <f ca="1">uxb_ranking!DJ14</f>
        <v>-1</v>
      </c>
      <c r="AH10" s="190" t="str">
        <f ca="1">IF($A10=0,"",uxb_ranking!BG14)</f>
        <v>=6</v>
      </c>
      <c r="AI10" s="14" t="str">
        <f ca="1">uxb_ranking!AL14</f>
        <v>Guatemala</v>
      </c>
      <c r="AJ10" s="20">
        <f ca="1">uxb_ranking!AS14</f>
        <v>58.3</v>
      </c>
      <c r="AK10" s="190" t="str">
        <f ca="1">uxb_ranking!CP14</f>
        <v>+25.0</v>
      </c>
      <c r="AL10" s="186">
        <f ca="1">uxb_ranking!CW14</f>
        <v>1</v>
      </c>
      <c r="AM10" s="212" t="str">
        <f ca="1">uxb_ranking!AT50</f>
        <v>+4</v>
      </c>
      <c r="AN10">
        <f ca="1">uxb_ranking!AZ50</f>
        <v>1</v>
      </c>
      <c r="AO10" s="213" t="str">
        <f ca="1">uxb_ranking!DD14</f>
        <v>+4</v>
      </c>
      <c r="AP10" s="186">
        <f ca="1">uxb_ranking!DK14</f>
        <v>1</v>
      </c>
    </row>
    <row r="11" spans="1:102" ht="18" customHeight="1">
      <c r="A11" s="106">
        <v>1</v>
      </c>
      <c r="B11" s="106"/>
      <c r="D11" s="190">
        <f ca="1">IF(A11=0,"",uxb_ranking!BD15)</f>
        <v>8</v>
      </c>
      <c r="E11" s="14" t="str">
        <f ca="1">uxb_ranking!AI15</f>
        <v>Paraguay</v>
      </c>
      <c r="F11" s="15">
        <f ca="1">uxb_ranking!AP15</f>
        <v>49.6</v>
      </c>
      <c r="G11" s="190" t="str">
        <f ca="1">uxb_ranking!CM15</f>
        <v>-3.3</v>
      </c>
      <c r="H11">
        <f ca="1">uxb_ranking!CT15</f>
        <v>-1</v>
      </c>
      <c r="I11" s="212" t="str">
        <f ca="1">uxb_ranking!AQ51</f>
        <v>-1</v>
      </c>
      <c r="J11">
        <f ca="1">uxb_ranking!AW51</f>
        <v>-1</v>
      </c>
      <c r="K11" s="213" t="str">
        <f ca="1">uxb_ranking!DA15</f>
        <v>-1</v>
      </c>
      <c r="L11" s="186">
        <f ca="1">uxb_ranking!DH15</f>
        <v>-1</v>
      </c>
      <c r="N11" s="190" t="str">
        <f ca="1">IF($A11=0,"",uxb_ranking!BE15)</f>
        <v>=6</v>
      </c>
      <c r="O11" s="14" t="str">
        <f ca="1">uxb_ranking!AJ15</f>
        <v>Mexico</v>
      </c>
      <c r="P11" s="20">
        <f ca="1">uxb_ranking!AQ15</f>
        <v>56.3</v>
      </c>
      <c r="Q11" s="190" t="str">
        <f ca="1">uxb_ranking!CN15</f>
        <v>+6.3</v>
      </c>
      <c r="R11">
        <f ca="1">uxb_ranking!CU15</f>
        <v>1</v>
      </c>
      <c r="S11" s="212" t="str">
        <f ca="1">uxb_ranking!AR51</f>
        <v>+2</v>
      </c>
      <c r="T11">
        <f ca="1">uxb_ranking!AX51</f>
        <v>1</v>
      </c>
      <c r="U11" s="213" t="str">
        <f ca="1">uxb_ranking!DB15</f>
        <v>+2</v>
      </c>
      <c r="V11">
        <f ca="1">uxb_ranking!DI15</f>
        <v>1</v>
      </c>
      <c r="X11" s="190">
        <f ca="1">IF($A11=0,"",uxb_ranking!BF15)</f>
        <v>8</v>
      </c>
      <c r="Y11" s="14" t="str">
        <f ca="1">uxb_ranking!AK15</f>
        <v>Colombia</v>
      </c>
      <c r="Z11" s="20">
        <f ca="1">uxb_ranking!AR15</f>
        <v>51.4</v>
      </c>
      <c r="AA11" s="190" t="str">
        <f ca="1">uxb_ranking!CO15</f>
        <v>+4.3</v>
      </c>
      <c r="AB11" s="186">
        <f ca="1">uxb_ranking!CV15</f>
        <v>1</v>
      </c>
      <c r="AC11" s="212" t="str">
        <f ca="1">uxb_ranking!AS51</f>
        <v>+2</v>
      </c>
      <c r="AD11" s="186">
        <f ca="1">uxb_ranking!AY51</f>
        <v>1</v>
      </c>
      <c r="AE11" s="213" t="str">
        <f ca="1">uxb_ranking!DC15</f>
        <v>-1</v>
      </c>
      <c r="AF11">
        <f ca="1">uxb_ranking!DJ15</f>
        <v>-1</v>
      </c>
      <c r="AH11" s="190" t="str">
        <f ca="1">IF($A11=0,"",uxb_ranking!BG15)</f>
        <v>=8</v>
      </c>
      <c r="AI11" s="14" t="str">
        <f ca="1">uxb_ranking!AL15</f>
        <v>Dominican Rep</v>
      </c>
      <c r="AJ11" s="20">
        <f ca="1">uxb_ranking!AS15</f>
        <v>50</v>
      </c>
      <c r="AK11" s="190" t="str">
        <f ca="1">uxb_ranking!CP15</f>
        <v>-25.0</v>
      </c>
      <c r="AL11" s="186">
        <f ca="1">uxb_ranking!CW15</f>
        <v>-1</v>
      </c>
      <c r="AM11" s="212" t="str">
        <f ca="1">uxb_ranking!AT51</f>
        <v>-7</v>
      </c>
      <c r="AN11">
        <f ca="1">uxb_ranking!AZ51</f>
        <v>-1</v>
      </c>
      <c r="AO11" s="213" t="str">
        <f ca="1">uxb_ranking!DD15</f>
        <v>-7</v>
      </c>
      <c r="AP11" s="186">
        <f ca="1">uxb_ranking!DK15</f>
        <v>-1</v>
      </c>
    </row>
    <row r="12" spans="1:102" ht="18" customHeight="1">
      <c r="A12" s="106">
        <v>1</v>
      </c>
      <c r="B12" s="106"/>
      <c r="D12" s="190">
        <f ca="1">IF(A12=0,"",uxb_ranking!BD16)</f>
        <v>9</v>
      </c>
      <c r="E12" s="14" t="str">
        <f ca="1">uxb_ranking!AI16</f>
        <v>Dominican Rep</v>
      </c>
      <c r="F12" s="15">
        <f ca="1">uxb_ranking!AP16</f>
        <v>48</v>
      </c>
      <c r="G12" s="190" t="str">
        <f ca="1">uxb_ranking!CM16</f>
        <v>-9.5</v>
      </c>
      <c r="H12">
        <f ca="1">uxb_ranking!CT16</f>
        <v>-1</v>
      </c>
      <c r="I12" s="212" t="str">
        <f ca="1">uxb_ranking!AQ52</f>
        <v>-4</v>
      </c>
      <c r="J12">
        <f ca="1">uxb_ranking!AW52</f>
        <v>-1</v>
      </c>
      <c r="K12" s="213" t="str">
        <f ca="1">uxb_ranking!DA16</f>
        <v>-4</v>
      </c>
      <c r="L12" s="186">
        <f ca="1">uxb_ranking!DH16</f>
        <v>-1</v>
      </c>
      <c r="N12" s="190" t="str">
        <f ca="1">IF($A12=0,"",uxb_ranking!BE16)</f>
        <v>=6</v>
      </c>
      <c r="O12" s="14" t="str">
        <f ca="1">uxb_ranking!AJ16</f>
        <v>Nicaragua</v>
      </c>
      <c r="P12" s="20">
        <f ca="1">uxb_ranking!AQ16</f>
        <v>56.3</v>
      </c>
      <c r="Q12" s="190" t="str">
        <f ca="1">uxb_ranking!CN16</f>
        <v>-</v>
      </c>
      <c r="R12">
        <f ca="1">uxb_ranking!CU16</f>
        <v>0</v>
      </c>
      <c r="S12" s="212" t="str">
        <f ca="1">uxb_ranking!AR52</f>
        <v>-</v>
      </c>
      <c r="T12">
        <f ca="1">uxb_ranking!AX52</f>
        <v>0</v>
      </c>
      <c r="U12" s="213" t="str">
        <f ca="1">uxb_ranking!DB16</f>
        <v>-</v>
      </c>
      <c r="V12">
        <f ca="1">uxb_ranking!DI16</f>
        <v>0</v>
      </c>
      <c r="X12" s="190">
        <f ca="1">IF($A12=0,"",uxb_ranking!BF16)</f>
        <v>9</v>
      </c>
      <c r="Y12" s="14" t="str">
        <f ca="1">uxb_ranking!AK16</f>
        <v>El Salvador</v>
      </c>
      <c r="Z12" s="20">
        <f ca="1">uxb_ranking!AR16</f>
        <v>49.2</v>
      </c>
      <c r="AA12" s="190" t="str">
        <f ca="1">uxb_ranking!CO16</f>
        <v>-</v>
      </c>
      <c r="AB12" s="186">
        <f ca="1">uxb_ranking!CV16</f>
        <v>0</v>
      </c>
      <c r="AC12" s="212" t="str">
        <f ca="1">uxb_ranking!AS52</f>
        <v>-</v>
      </c>
      <c r="AD12" s="186">
        <f ca="1">uxb_ranking!AY52</f>
        <v>0</v>
      </c>
      <c r="AE12" s="213" t="str">
        <f ca="1">uxb_ranking!DC16</f>
        <v>-3</v>
      </c>
      <c r="AF12">
        <f ca="1">uxb_ranking!DJ16</f>
        <v>-1</v>
      </c>
      <c r="AH12" s="190" t="str">
        <f ca="1">IF($A12=0,"",uxb_ranking!BG16)</f>
        <v>=8</v>
      </c>
      <c r="AI12" s="14" t="str">
        <f ca="1">uxb_ranking!AL16</f>
        <v>Honduras</v>
      </c>
      <c r="AJ12" s="20">
        <f ca="1">uxb_ranking!AS16</f>
        <v>50</v>
      </c>
      <c r="AK12" s="190" t="str">
        <f ca="1">uxb_ranking!CP16</f>
        <v>new</v>
      </c>
      <c r="AL12" s="186">
        <f ca="1">uxb_ranking!CW16</f>
        <v>0</v>
      </c>
      <c r="AM12" s="212" t="str">
        <f ca="1">uxb_ranking!AT52</f>
        <v/>
      </c>
      <c r="AN12" t="str">
        <f ca="1">uxb_ranking!AZ52</f>
        <v/>
      </c>
      <c r="AO12" s="213" t="str">
        <f ca="1">uxb_ranking!DD16</f>
        <v/>
      </c>
      <c r="AP12" s="186">
        <f ca="1">uxb_ranking!DK16</f>
        <v>0</v>
      </c>
    </row>
    <row r="13" spans="1:102" ht="18" customHeight="1">
      <c r="A13" s="106">
        <v>1</v>
      </c>
      <c r="B13" s="106"/>
      <c r="D13" s="190" t="str">
        <f ca="1">IF(A13=0,"",uxb_ranking!BD17)</f>
        <v>=10</v>
      </c>
      <c r="E13" s="14" t="str">
        <f ca="1">uxb_ranking!AI17</f>
        <v>Mexico</v>
      </c>
      <c r="F13" s="15">
        <f ca="1">uxb_ranking!AP17</f>
        <v>47.5</v>
      </c>
      <c r="G13" s="190" t="str">
        <f ca="1">uxb_ranking!CM17</f>
        <v>-0.8</v>
      </c>
      <c r="H13">
        <f ca="1">uxb_ranking!CT17</f>
        <v>-1</v>
      </c>
      <c r="I13" s="212" t="str">
        <f ca="1">uxb_ranking!AQ53</f>
        <v>-2</v>
      </c>
      <c r="J13">
        <f ca="1">uxb_ranking!AW53</f>
        <v>-1</v>
      </c>
      <c r="K13" s="213" t="str">
        <f ca="1">uxb_ranking!DA17</f>
        <v>-2</v>
      </c>
      <c r="L13" s="186">
        <f ca="1">uxb_ranking!DH17</f>
        <v>-1</v>
      </c>
      <c r="N13" s="190" t="str">
        <f ca="1">IF($A13=0,"",uxb_ranking!BE17)</f>
        <v>=6</v>
      </c>
      <c r="O13" s="14" t="str">
        <f ca="1">uxb_ranking!AJ17</f>
        <v>Panama</v>
      </c>
      <c r="P13" s="20">
        <f ca="1">uxb_ranking!AQ17</f>
        <v>56.3</v>
      </c>
      <c r="Q13" s="190" t="str">
        <f ca="1">uxb_ranking!CN17</f>
        <v>new</v>
      </c>
      <c r="R13">
        <f ca="1">uxb_ranking!CU17</f>
        <v>0</v>
      </c>
      <c r="S13" s="212" t="str">
        <f ca="1">uxb_ranking!AR53</f>
        <v/>
      </c>
      <c r="T13" t="str">
        <f ca="1">uxb_ranking!AX53</f>
        <v/>
      </c>
      <c r="U13" s="213" t="str">
        <f ca="1">uxb_ranking!DB17</f>
        <v/>
      </c>
      <c r="V13">
        <f ca="1">uxb_ranking!DI17</f>
        <v>0</v>
      </c>
      <c r="X13" s="190">
        <f ca="1">IF($A13=0,"",uxb_ranking!BF17)</f>
        <v>10</v>
      </c>
      <c r="Y13" s="14" t="str">
        <f ca="1">uxb_ranking!AK17</f>
        <v>Bolivia</v>
      </c>
      <c r="Z13" s="20">
        <f ca="1">uxb_ranking!AR17</f>
        <v>46.9</v>
      </c>
      <c r="AA13" s="190" t="str">
        <f ca="1">uxb_ranking!CO17</f>
        <v>-0.2</v>
      </c>
      <c r="AB13" s="186">
        <f ca="1">uxb_ranking!CV17</f>
        <v>-1</v>
      </c>
      <c r="AC13" s="212" t="str">
        <f ca="1">uxb_ranking!AS53</f>
        <v>-</v>
      </c>
      <c r="AD13" s="186">
        <f ca="1">uxb_ranking!AY53</f>
        <v>0</v>
      </c>
      <c r="AE13" s="213" t="str">
        <f ca="1">uxb_ranking!DC17</f>
        <v>-3</v>
      </c>
      <c r="AF13">
        <f ca="1">uxb_ranking!DJ17</f>
        <v>-1</v>
      </c>
      <c r="AH13" s="190">
        <f ca="1">IF($A13=0,"",uxb_ranking!BG17)</f>
        <v>10</v>
      </c>
      <c r="AI13" s="14" t="str">
        <f ca="1">uxb_ranking!AL17</f>
        <v>Paraguay</v>
      </c>
      <c r="AJ13" s="20">
        <f ca="1">uxb_ranking!AS17</f>
        <v>41.7</v>
      </c>
      <c r="AK13" s="190" t="str">
        <f ca="1">uxb_ranking!CP17</f>
        <v>-8.3</v>
      </c>
      <c r="AL13" s="186">
        <f ca="1">uxb_ranking!CW17</f>
        <v>-1</v>
      </c>
      <c r="AM13" s="212" t="str">
        <f ca="1">uxb_ranking!AT53</f>
        <v>-2</v>
      </c>
      <c r="AN13">
        <f ca="1">uxb_ranking!AZ53</f>
        <v>-1</v>
      </c>
      <c r="AO13" s="213" t="str">
        <f ca="1">uxb_ranking!DD17</f>
        <v>-3</v>
      </c>
      <c r="AP13" s="186">
        <f ca="1">uxb_ranking!DK17</f>
        <v>-1</v>
      </c>
    </row>
    <row r="14" spans="1:102" ht="18" customHeight="1">
      <c r="A14" s="106">
        <v>1</v>
      </c>
      <c r="B14" s="106"/>
      <c r="D14" s="190" t="str">
        <f ca="1">IF(A14=0,"",uxb_ranking!BD18)</f>
        <v>=10</v>
      </c>
      <c r="E14" s="14" t="str">
        <f ca="1">uxb_ranking!AI18</f>
        <v>Panama</v>
      </c>
      <c r="F14" s="15">
        <f ca="1">uxb_ranking!AP18</f>
        <v>47.5</v>
      </c>
      <c r="G14" s="190" t="str">
        <f ca="1">uxb_ranking!CM18</f>
        <v>new</v>
      </c>
      <c r="H14">
        <f ca="1">uxb_ranking!CT18</f>
        <v>0</v>
      </c>
      <c r="I14" s="212" t="str">
        <f ca="1">uxb_ranking!AQ54</f>
        <v/>
      </c>
      <c r="J14" t="str">
        <f ca="1">uxb_ranking!AW54</f>
        <v/>
      </c>
      <c r="K14" s="213" t="str">
        <f ca="1">uxb_ranking!DA18</f>
        <v/>
      </c>
      <c r="L14" s="186">
        <f ca="1">uxb_ranking!DH18</f>
        <v>0</v>
      </c>
      <c r="N14" s="190" t="str">
        <f ca="1">IF($A14=0,"",uxb_ranking!BE18)</f>
        <v>=11</v>
      </c>
      <c r="O14" s="14" t="str">
        <f ca="1">uxb_ranking!AJ18</f>
        <v>Dominican Rep</v>
      </c>
      <c r="P14" s="20">
        <f ca="1">uxb_ranking!AQ18</f>
        <v>50</v>
      </c>
      <c r="Q14" s="190" t="str">
        <f ca="1">uxb_ranking!CN18</f>
        <v>-</v>
      </c>
      <c r="R14">
        <f ca="1">uxb_ranking!CU18</f>
        <v>0</v>
      </c>
      <c r="S14" s="212" t="str">
        <f ca="1">uxb_ranking!AR54</f>
        <v>-2</v>
      </c>
      <c r="T14">
        <f ca="1">uxb_ranking!AX54</f>
        <v>-1</v>
      </c>
      <c r="U14" s="213" t="str">
        <f ca="1">uxb_ranking!DB18</f>
        <v>-3</v>
      </c>
      <c r="V14">
        <f ca="1">uxb_ranking!DI18</f>
        <v>-1</v>
      </c>
      <c r="X14" s="190">
        <f ca="1">IF($A14=0,"",uxb_ranking!BF18)</f>
        <v>11</v>
      </c>
      <c r="Y14" s="14" t="str">
        <f ca="1">uxb_ranking!AK18</f>
        <v>Uruguay</v>
      </c>
      <c r="Z14" s="20">
        <f ca="1">uxb_ranking!AR18</f>
        <v>45.8</v>
      </c>
      <c r="AA14" s="190" t="str">
        <f ca="1">uxb_ranking!CO18</f>
        <v>-8.4</v>
      </c>
      <c r="AB14" s="186">
        <f ca="1">uxb_ranking!CV18</f>
        <v>-1</v>
      </c>
      <c r="AC14" s="212" t="str">
        <f ca="1">uxb_ranking!AS54</f>
        <v>-3</v>
      </c>
      <c r="AD14" s="186">
        <f ca="1">uxb_ranking!AY54</f>
        <v>-1</v>
      </c>
      <c r="AE14" s="213" t="str">
        <f ca="1">uxb_ranking!DC18</f>
        <v>-6</v>
      </c>
      <c r="AF14">
        <f ca="1">uxb_ranking!DJ18</f>
        <v>-1</v>
      </c>
      <c r="AH14" s="190" t="str">
        <f ca="1">IF($A14=0,"",uxb_ranking!BG18)</f>
        <v>=11</v>
      </c>
      <c r="AI14" s="14" t="str">
        <f ca="1">uxb_ranking!AL18</f>
        <v>Argentina</v>
      </c>
      <c r="AJ14" s="20">
        <f ca="1">uxb_ranking!AS18</f>
        <v>33.299999999999997</v>
      </c>
      <c r="AK14" s="190" t="str">
        <f ca="1">uxb_ranking!CP18</f>
        <v>+8.3</v>
      </c>
      <c r="AL14" s="186">
        <f ca="1">uxb_ranking!CW18</f>
        <v>1</v>
      </c>
      <c r="AM14" s="212" t="str">
        <f ca="1">uxb_ranking!AT54</f>
        <v>+3</v>
      </c>
      <c r="AN14">
        <f ca="1">uxb_ranking!AZ54</f>
        <v>1</v>
      </c>
      <c r="AO14" s="213" t="str">
        <f ca="1">uxb_ranking!DD18</f>
        <v>+2</v>
      </c>
      <c r="AP14" s="186">
        <f ca="1">uxb_ranking!DK18</f>
        <v>1</v>
      </c>
    </row>
    <row r="15" spans="1:102" ht="18" customHeight="1">
      <c r="A15" s="106">
        <v>1</v>
      </c>
      <c r="B15" s="106"/>
      <c r="D15" s="190">
        <f ca="1">IF(A15=0,"",uxb_ranking!BD19)</f>
        <v>12</v>
      </c>
      <c r="E15" s="14" t="str">
        <f ca="1">uxb_ranking!AI19</f>
        <v>Honduras</v>
      </c>
      <c r="F15" s="15">
        <f ca="1">uxb_ranking!AP19</f>
        <v>47.1</v>
      </c>
      <c r="G15" s="190" t="str">
        <f ca="1">uxb_ranking!CM19</f>
        <v>new</v>
      </c>
      <c r="H15">
        <f ca="1">uxb_ranking!CT19</f>
        <v>0</v>
      </c>
      <c r="I15" s="212" t="str">
        <f ca="1">uxb_ranking!AQ55</f>
        <v/>
      </c>
      <c r="J15" t="str">
        <f ca="1">uxb_ranking!AW55</f>
        <v/>
      </c>
      <c r="K15" s="213" t="str">
        <f ca="1">uxb_ranking!DA19</f>
        <v/>
      </c>
      <c r="L15" s="186">
        <f ca="1">uxb_ranking!DH19</f>
        <v>0</v>
      </c>
      <c r="N15" s="190" t="str">
        <f ca="1">IF($A15=0,"",uxb_ranking!BE19)</f>
        <v>=11</v>
      </c>
      <c r="O15" s="14" t="str">
        <f ca="1">uxb_ranking!AJ19</f>
        <v>Honduras</v>
      </c>
      <c r="P15" s="20">
        <f ca="1">uxb_ranking!AQ19</f>
        <v>50</v>
      </c>
      <c r="Q15" s="190" t="str">
        <f ca="1">uxb_ranking!CN19</f>
        <v>new</v>
      </c>
      <c r="R15">
        <f ca="1">uxb_ranking!CU19</f>
        <v>0</v>
      </c>
      <c r="S15" s="212" t="str">
        <f ca="1">uxb_ranking!AR55</f>
        <v/>
      </c>
      <c r="T15" t="str">
        <f ca="1">uxb_ranking!AX55</f>
        <v/>
      </c>
      <c r="U15" s="213" t="str">
        <f ca="1">uxb_ranking!DB19</f>
        <v/>
      </c>
      <c r="V15">
        <f ca="1">uxb_ranking!DI19</f>
        <v>0</v>
      </c>
      <c r="X15" s="190">
        <f ca="1">IF($A15=0,"",uxb_ranking!BF19)</f>
        <v>12</v>
      </c>
      <c r="Y15" s="14" t="str">
        <f ca="1">uxb_ranking!AK19</f>
        <v>Nicaragua</v>
      </c>
      <c r="Z15" s="20">
        <f ca="1">uxb_ranking!AR19</f>
        <v>44.2</v>
      </c>
      <c r="AA15" s="190" t="str">
        <f ca="1">uxb_ranking!CO19</f>
        <v>+4.2</v>
      </c>
      <c r="AB15" s="186">
        <f ca="1">uxb_ranking!CV19</f>
        <v>1</v>
      </c>
      <c r="AC15" s="212" t="str">
        <f ca="1">uxb_ranking!AS55</f>
        <v>+4</v>
      </c>
      <c r="AD15" s="186">
        <f ca="1">uxb_ranking!AY55</f>
        <v>1</v>
      </c>
      <c r="AE15" s="213" t="str">
        <f ca="1">uxb_ranking!DC19</f>
        <v>+1</v>
      </c>
      <c r="AF15">
        <f ca="1">uxb_ranking!DJ19</f>
        <v>1</v>
      </c>
      <c r="AH15" s="190" t="str">
        <f ca="1">IF($A15=0,"",uxb_ranking!BG19)</f>
        <v>=11</v>
      </c>
      <c r="AI15" s="14" t="str">
        <f ca="1">uxb_ranking!AL19</f>
        <v>Brazil</v>
      </c>
      <c r="AJ15" s="20">
        <f ca="1">uxb_ranking!AS19</f>
        <v>33.299999999999997</v>
      </c>
      <c r="AK15" s="190" t="str">
        <f ca="1">uxb_ranking!CP19</f>
        <v>-</v>
      </c>
      <c r="AL15" s="186">
        <f ca="1">uxb_ranking!CW19</f>
        <v>0</v>
      </c>
      <c r="AM15" s="212" t="str">
        <f ca="1">uxb_ranking!AT55</f>
        <v>-</v>
      </c>
      <c r="AN15">
        <f ca="1">uxb_ranking!AZ55</f>
        <v>0</v>
      </c>
      <c r="AO15" s="213" t="str">
        <f ca="1">uxb_ranking!DD19</f>
        <v>-1</v>
      </c>
      <c r="AP15" s="186">
        <f ca="1">uxb_ranking!DK19</f>
        <v>-1</v>
      </c>
    </row>
    <row r="16" spans="1:102" ht="18" customHeight="1">
      <c r="A16" s="106">
        <v>1</v>
      </c>
      <c r="B16" s="106"/>
      <c r="D16" s="190">
        <f ca="1">IF(A16=0,"",uxb_ranking!BD20)</f>
        <v>13</v>
      </c>
      <c r="E16" s="14" t="str">
        <f ca="1">uxb_ranking!AI20</f>
        <v>Chile</v>
      </c>
      <c r="F16" s="15">
        <f ca="1">uxb_ranking!AP20</f>
        <v>43.2</v>
      </c>
      <c r="G16" s="190" t="str">
        <f ca="1">uxb_ranking!CM20</f>
        <v>-5.1</v>
      </c>
      <c r="H16">
        <f ca="1">uxb_ranking!CT20</f>
        <v>-1</v>
      </c>
      <c r="I16" s="212" t="str">
        <f ca="1">uxb_ranking!AQ56</f>
        <v>-3</v>
      </c>
      <c r="J16">
        <f ca="1">uxb_ranking!AW56</f>
        <v>-1</v>
      </c>
      <c r="K16" s="213" t="str">
        <f ca="1">uxb_ranking!DA20</f>
        <v>-5</v>
      </c>
      <c r="L16" s="186">
        <f ca="1">uxb_ranking!DH20</f>
        <v>-1</v>
      </c>
      <c r="N16" s="190" t="str">
        <f ca="1">IF($A16=0,"",uxb_ranking!BE20)</f>
        <v>=13</v>
      </c>
      <c r="O16" s="14" t="str">
        <f ca="1">uxb_ranking!AJ20</f>
        <v>Brazil</v>
      </c>
      <c r="P16" s="20">
        <f ca="1">uxb_ranking!AQ20</f>
        <v>43.8</v>
      </c>
      <c r="Q16" s="190" t="str">
        <f ca="1">uxb_ranking!CN20</f>
        <v>-</v>
      </c>
      <c r="R16">
        <f ca="1">uxb_ranking!CU20</f>
        <v>0</v>
      </c>
      <c r="S16" s="212" t="str">
        <f ca="1">uxb_ranking!AR56</f>
        <v>+1</v>
      </c>
      <c r="T16">
        <f ca="1">uxb_ranking!AX56</f>
        <v>1</v>
      </c>
      <c r="U16" s="213" t="str">
        <f ca="1">uxb_ranking!DB20</f>
        <v>-1</v>
      </c>
      <c r="V16">
        <f ca="1">uxb_ranking!DI20</f>
        <v>-1</v>
      </c>
      <c r="X16" s="190">
        <f ca="1">IF($A16=0,"",uxb_ranking!BF20)</f>
        <v>13</v>
      </c>
      <c r="Y16" s="14" t="str">
        <f ca="1">uxb_ranking!AK20</f>
        <v>Venezuela</v>
      </c>
      <c r="Z16" s="20">
        <f ca="1">uxb_ranking!AR20</f>
        <v>41.4</v>
      </c>
      <c r="AA16" s="190" t="str">
        <f ca="1">uxb_ranking!CO20</f>
        <v>+0.1</v>
      </c>
      <c r="AB16" s="186">
        <f ca="1">uxb_ranking!CV20</f>
        <v>1</v>
      </c>
      <c r="AC16" s="212" t="str">
        <f ca="1">uxb_ranking!AS56</f>
        <v>-</v>
      </c>
      <c r="AD16" s="186">
        <f ca="1">uxb_ranking!AY56</f>
        <v>0</v>
      </c>
      <c r="AE16" s="213" t="str">
        <f ca="1">uxb_ranking!DC20</f>
        <v>-3</v>
      </c>
      <c r="AF16">
        <f ca="1">uxb_ranking!DJ20</f>
        <v>-1</v>
      </c>
      <c r="AH16" s="190" t="str">
        <f ca="1">IF($A16=0,"",uxb_ranking!BG20)</f>
        <v>=11</v>
      </c>
      <c r="AI16" s="14" t="str">
        <f ca="1">uxb_ranking!AL20</f>
        <v>Chile</v>
      </c>
      <c r="AJ16" s="20">
        <f ca="1">uxb_ranking!AS20</f>
        <v>33.299999999999997</v>
      </c>
      <c r="AK16" s="190" t="str">
        <f ca="1">uxb_ranking!CP20</f>
        <v>-</v>
      </c>
      <c r="AL16" s="186">
        <f ca="1">uxb_ranking!CW20</f>
        <v>0</v>
      </c>
      <c r="AM16" s="212" t="str">
        <f ca="1">uxb_ranking!AT56</f>
        <v>-</v>
      </c>
      <c r="AN16">
        <f ca="1">uxb_ranking!AZ56</f>
        <v>0</v>
      </c>
      <c r="AO16" s="213" t="str">
        <f ca="1">uxb_ranking!DD20</f>
        <v>-1</v>
      </c>
      <c r="AP16" s="186">
        <f ca="1">uxb_ranking!DK20</f>
        <v>-1</v>
      </c>
    </row>
    <row r="17" spans="1:42" ht="18" customHeight="1">
      <c r="A17" s="106">
        <v>1</v>
      </c>
      <c r="B17" s="106"/>
      <c r="D17" s="190">
        <f ca="1">IF(A17=0,"",uxb_ranking!BD21)</f>
        <v>14</v>
      </c>
      <c r="E17" s="14" t="str">
        <f ca="1">uxb_ranking!AI21</f>
        <v>Brazil</v>
      </c>
      <c r="F17" s="15">
        <f ca="1">uxb_ranking!AP21</f>
        <v>41.6</v>
      </c>
      <c r="G17" s="190" t="str">
        <f ca="1">uxb_ranking!CM21</f>
        <v>-1.7</v>
      </c>
      <c r="H17">
        <f ca="1">uxb_ranking!CT21</f>
        <v>-1</v>
      </c>
      <c r="I17" s="212" t="str">
        <f ca="1">uxb_ranking!AQ57</f>
        <v>-</v>
      </c>
      <c r="J17">
        <f ca="1">uxb_ranking!AW57</f>
        <v>0</v>
      </c>
      <c r="K17" s="213" t="str">
        <f ca="1">uxb_ranking!DA21</f>
        <v>-2</v>
      </c>
      <c r="L17" s="186">
        <f ca="1">uxb_ranking!DH21</f>
        <v>-1</v>
      </c>
      <c r="N17" s="190" t="str">
        <f ca="1">IF($A17=0,"",uxb_ranking!BE21)</f>
        <v>=13</v>
      </c>
      <c r="O17" s="14" t="str">
        <f ca="1">uxb_ranking!AJ21</f>
        <v>Haiti</v>
      </c>
      <c r="P17" s="20">
        <f ca="1">uxb_ranking!AQ21</f>
        <v>43.8</v>
      </c>
      <c r="Q17" s="190" t="str">
        <f ca="1">uxb_ranking!CN21</f>
        <v>new</v>
      </c>
      <c r="R17">
        <f ca="1">uxb_ranking!CU21</f>
        <v>0</v>
      </c>
      <c r="S17" s="212" t="str">
        <f ca="1">uxb_ranking!AR57</f>
        <v/>
      </c>
      <c r="T17" t="str">
        <f ca="1">uxb_ranking!AX57</f>
        <v/>
      </c>
      <c r="U17" s="213" t="str">
        <f ca="1">uxb_ranking!DB21</f>
        <v/>
      </c>
      <c r="V17">
        <f ca="1">uxb_ranking!DI21</f>
        <v>0</v>
      </c>
      <c r="X17" s="190">
        <f ca="1">IF($A17=0,"",uxb_ranking!BF21)</f>
        <v>14</v>
      </c>
      <c r="Y17" s="14" t="str">
        <f ca="1">uxb_ranking!AK21</f>
        <v>Guatemala</v>
      </c>
      <c r="Z17" s="20">
        <f ca="1">uxb_ranking!AR21</f>
        <v>40.799999999999997</v>
      </c>
      <c r="AA17" s="190" t="str">
        <f ca="1">uxb_ranking!CO21</f>
        <v>-</v>
      </c>
      <c r="AB17" s="186">
        <f ca="1">uxb_ranking!CV21</f>
        <v>0</v>
      </c>
      <c r="AC17" s="212" t="str">
        <f ca="1">uxb_ranking!AS57</f>
        <v>+1</v>
      </c>
      <c r="AD17" s="186">
        <f ca="1">uxb_ranking!AY57</f>
        <v>1</v>
      </c>
      <c r="AE17" s="213" t="str">
        <f ca="1">uxb_ranking!DC21</f>
        <v>-2</v>
      </c>
      <c r="AF17">
        <f ca="1">uxb_ranking!DJ21</f>
        <v>-1</v>
      </c>
      <c r="AH17" s="190" t="str">
        <f ca="1">IF($A17=0,"",uxb_ranking!BG21)</f>
        <v>=11</v>
      </c>
      <c r="AI17" s="14" t="str">
        <f ca="1">uxb_ranking!AL21</f>
        <v>Costa Rica</v>
      </c>
      <c r="AJ17" s="20">
        <f ca="1">uxb_ranking!AS21</f>
        <v>33.299999999999997</v>
      </c>
      <c r="AK17" s="190" t="str">
        <f ca="1">uxb_ranking!CP21</f>
        <v>new</v>
      </c>
      <c r="AL17" s="186">
        <f ca="1">uxb_ranking!CW21</f>
        <v>0</v>
      </c>
      <c r="AM17" s="212" t="str">
        <f ca="1">uxb_ranking!AT57</f>
        <v/>
      </c>
      <c r="AN17" t="str">
        <f ca="1">uxb_ranking!AZ57</f>
        <v/>
      </c>
      <c r="AO17" s="213" t="str">
        <f ca="1">uxb_ranking!DD21</f>
        <v/>
      </c>
      <c r="AP17" s="186">
        <f ca="1">uxb_ranking!DK21</f>
        <v>0</v>
      </c>
    </row>
    <row r="18" spans="1:42" ht="18" customHeight="1">
      <c r="A18" s="106">
        <v>1</v>
      </c>
      <c r="B18" s="106"/>
      <c r="D18" s="190">
        <f ca="1">IF(A18=0,"",uxb_ranking!BD22)</f>
        <v>15</v>
      </c>
      <c r="E18" s="14" t="str">
        <f ca="1">uxb_ranking!AI22</f>
        <v>Costa Rica</v>
      </c>
      <c r="F18" s="15">
        <f ca="1">uxb_ranking!AP22</f>
        <v>40.299999999999997</v>
      </c>
      <c r="G18" s="190" t="str">
        <f ca="1">uxb_ranking!CM22</f>
        <v>new</v>
      </c>
      <c r="H18">
        <f ca="1">uxb_ranking!CT22</f>
        <v>0</v>
      </c>
      <c r="I18" s="212" t="str">
        <f ca="1">uxb_ranking!AQ58</f>
        <v/>
      </c>
      <c r="J18" t="str">
        <f ca="1">uxb_ranking!AW58</f>
        <v/>
      </c>
      <c r="K18" s="213" t="str">
        <f ca="1">uxb_ranking!DA22</f>
        <v/>
      </c>
      <c r="L18" s="186">
        <f ca="1">uxb_ranking!DH22</f>
        <v>0</v>
      </c>
      <c r="N18" s="190" t="str">
        <f ca="1">IF($A18=0,"",uxb_ranking!BE22)</f>
        <v>=15</v>
      </c>
      <c r="O18" s="14" t="str">
        <f ca="1">uxb_ranking!AJ22</f>
        <v>Chile</v>
      </c>
      <c r="P18" s="20">
        <f ca="1">uxb_ranking!AQ22</f>
        <v>37.5</v>
      </c>
      <c r="Q18" s="190" t="str">
        <f ca="1">uxb_ranking!CN22</f>
        <v>-12.5</v>
      </c>
      <c r="R18">
        <f ca="1">uxb_ranking!CU22</f>
        <v>-1</v>
      </c>
      <c r="S18" s="212" t="str">
        <f ca="1">uxb_ranking!AR58</f>
        <v>-4</v>
      </c>
      <c r="T18">
        <f ca="1">uxb_ranking!AX58</f>
        <v>-1</v>
      </c>
      <c r="U18" s="213" t="str">
        <f ca="1">uxb_ranking!DB22</f>
        <v>-7</v>
      </c>
      <c r="V18">
        <f ca="1">uxb_ranking!DI22</f>
        <v>-1</v>
      </c>
      <c r="X18" s="190">
        <f ca="1">IF($A18=0,"",uxb_ranking!BF22)</f>
        <v>15</v>
      </c>
      <c r="Y18" s="14" t="str">
        <f ca="1">uxb_ranking!AK22</f>
        <v>Dominican Rep</v>
      </c>
      <c r="Z18" s="20">
        <f ca="1">uxb_ranking!AR22</f>
        <v>40</v>
      </c>
      <c r="AA18" s="190" t="str">
        <f ca="1">uxb_ranking!CO22</f>
        <v>+2.5</v>
      </c>
      <c r="AB18" s="186">
        <f ca="1">uxb_ranking!CV22</f>
        <v>1</v>
      </c>
      <c r="AC18" s="212" t="str">
        <f ca="1">uxb_ranking!AS58</f>
        <v>+3</v>
      </c>
      <c r="AD18" s="186">
        <f ca="1">uxb_ranking!AY58</f>
        <v>1</v>
      </c>
      <c r="AE18" s="213" t="str">
        <f ca="1">uxb_ranking!DC22</f>
        <v>-</v>
      </c>
      <c r="AF18">
        <f ca="1">uxb_ranking!DJ22</f>
        <v>0</v>
      </c>
      <c r="AH18" s="190" t="str">
        <f ca="1">IF($A18=0,"",uxb_ranking!BG22)</f>
        <v>=11</v>
      </c>
      <c r="AI18" s="14" t="str">
        <f ca="1">uxb_ranking!AL22</f>
        <v>Mexico</v>
      </c>
      <c r="AJ18" s="20">
        <f ca="1">uxb_ranking!AS22</f>
        <v>33.299999999999997</v>
      </c>
      <c r="AK18" s="190" t="str">
        <f ca="1">uxb_ranking!CP22</f>
        <v>-8.4</v>
      </c>
      <c r="AL18" s="186">
        <f ca="1">uxb_ranking!CW22</f>
        <v>-1</v>
      </c>
      <c r="AM18" s="212" t="str">
        <f ca="1">uxb_ranking!AT58</f>
        <v>-2</v>
      </c>
      <c r="AN18">
        <f ca="1">uxb_ranking!AZ58</f>
        <v>-1</v>
      </c>
      <c r="AO18" s="213" t="str">
        <f ca="1">uxb_ranking!DD22</f>
        <v>-3</v>
      </c>
      <c r="AP18" s="186">
        <f ca="1">uxb_ranking!DK22</f>
        <v>-1</v>
      </c>
    </row>
    <row r="19" spans="1:42" ht="18" customHeight="1">
      <c r="A19" s="106">
        <v>1</v>
      </c>
      <c r="B19" s="106"/>
      <c r="D19" s="190">
        <f ca="1">IF(A19=0,"",uxb_ranking!BD23)</f>
        <v>16</v>
      </c>
      <c r="E19" s="14" t="str">
        <f ca="1">uxb_ranking!AI23</f>
        <v>Haiti</v>
      </c>
      <c r="F19" s="15">
        <f ca="1">uxb_ranking!AP23</f>
        <v>30.2</v>
      </c>
      <c r="G19" s="190" t="str">
        <f ca="1">uxb_ranking!CM23</f>
        <v>new</v>
      </c>
      <c r="H19">
        <f ca="1">uxb_ranking!CT23</f>
        <v>0</v>
      </c>
      <c r="I19" s="212" t="str">
        <f ca="1">uxb_ranking!AQ59</f>
        <v/>
      </c>
      <c r="J19" t="str">
        <f ca="1">uxb_ranking!AW59</f>
        <v/>
      </c>
      <c r="K19" s="213" t="str">
        <f ca="1">uxb_ranking!DA23</f>
        <v/>
      </c>
      <c r="L19" s="186">
        <f ca="1">uxb_ranking!DH23</f>
        <v>0</v>
      </c>
      <c r="N19" s="190" t="str">
        <f ca="1">IF($A19=0,"",uxb_ranking!BE23)</f>
        <v>=15</v>
      </c>
      <c r="O19" s="14" t="str">
        <f ca="1">uxb_ranking!AJ23</f>
        <v>Costa Rica</v>
      </c>
      <c r="P19" s="20">
        <f ca="1">uxb_ranking!AQ23</f>
        <v>37.5</v>
      </c>
      <c r="Q19" s="190" t="str">
        <f ca="1">uxb_ranking!CN23</f>
        <v>new</v>
      </c>
      <c r="R19">
        <f ca="1">uxb_ranking!CU23</f>
        <v>0</v>
      </c>
      <c r="S19" s="212" t="str">
        <f ca="1">uxb_ranking!AR59</f>
        <v/>
      </c>
      <c r="T19" t="str">
        <f ca="1">uxb_ranking!AX59</f>
        <v/>
      </c>
      <c r="U19" s="213" t="str">
        <f ca="1">uxb_ranking!DB23</f>
        <v/>
      </c>
      <c r="V19">
        <f ca="1">uxb_ranking!DI23</f>
        <v>0</v>
      </c>
      <c r="X19" s="190">
        <f ca="1">IF($A19=0,"",uxb_ranking!BF23)</f>
        <v>16</v>
      </c>
      <c r="Y19" s="14" t="str">
        <f ca="1">uxb_ranking!AK23</f>
        <v>Paraguay</v>
      </c>
      <c r="Z19" s="20">
        <f ca="1">uxb_ranking!AR23</f>
        <v>39.700000000000003</v>
      </c>
      <c r="AA19" s="190" t="str">
        <f ca="1">uxb_ranking!CO23</f>
        <v>+0.1</v>
      </c>
      <c r="AB19" s="186">
        <f ca="1">uxb_ranking!CV23</f>
        <v>1</v>
      </c>
      <c r="AC19" s="212" t="str">
        <f ca="1">uxb_ranking!AS59</f>
        <v>+1</v>
      </c>
      <c r="AD19" s="186">
        <f ca="1">uxb_ranking!AY59</f>
        <v>1</v>
      </c>
      <c r="AE19" s="213" t="str">
        <f ca="1">uxb_ranking!DC23</f>
        <v>-2</v>
      </c>
      <c r="AF19">
        <f ca="1">uxb_ranking!DJ23</f>
        <v>-1</v>
      </c>
      <c r="AH19" s="190" t="str">
        <f ca="1">IF($A19=0,"",uxb_ranking!BG23)</f>
        <v>=11</v>
      </c>
      <c r="AI19" s="14" t="str">
        <f ca="1">uxb_ranking!AL23</f>
        <v>Panama</v>
      </c>
      <c r="AJ19" s="20">
        <f ca="1">uxb_ranking!AS23</f>
        <v>33.299999999999997</v>
      </c>
      <c r="AK19" s="190" t="str">
        <f ca="1">uxb_ranking!CP23</f>
        <v>new</v>
      </c>
      <c r="AL19" s="186">
        <f ca="1">uxb_ranking!CW23</f>
        <v>0</v>
      </c>
      <c r="AM19" s="212" t="str">
        <f ca="1">uxb_ranking!AT59</f>
        <v/>
      </c>
      <c r="AN19" t="str">
        <f ca="1">uxb_ranking!AZ59</f>
        <v/>
      </c>
      <c r="AO19" s="213" t="str">
        <f ca="1">uxb_ranking!DD23</f>
        <v/>
      </c>
      <c r="AP19" s="186">
        <f ca="1">uxb_ranking!DK23</f>
        <v>0</v>
      </c>
    </row>
    <row r="20" spans="1:42" ht="18" customHeight="1">
      <c r="A20" s="106">
        <v>1</v>
      </c>
      <c r="B20" s="106"/>
      <c r="D20" s="190">
        <f ca="1">IF(A20=0,"",uxb_ranking!BD24)</f>
        <v>17</v>
      </c>
      <c r="E20" s="14" t="str">
        <f ca="1">uxb_ranking!AI24</f>
        <v>Argentina</v>
      </c>
      <c r="F20" s="15">
        <f ca="1">uxb_ranking!AP24</f>
        <v>28.5</v>
      </c>
      <c r="G20" s="190" t="str">
        <f ca="1">uxb_ranking!CM24</f>
        <v>+1.7</v>
      </c>
      <c r="H20">
        <f ca="1">uxb_ranking!CT24</f>
        <v>1</v>
      </c>
      <c r="I20" s="212" t="str">
        <f ca="1">uxb_ranking!AQ60</f>
        <v>+2</v>
      </c>
      <c r="J20">
        <f ca="1">uxb_ranking!AW60</f>
        <v>1</v>
      </c>
      <c r="K20" s="213" t="str">
        <f ca="1">uxb_ranking!DA24</f>
        <v>-2</v>
      </c>
      <c r="L20" s="186">
        <f ca="1">uxb_ranking!DH24</f>
        <v>-1</v>
      </c>
      <c r="N20" s="190">
        <f ca="1">IF($A20=0,"",uxb_ranking!BE24)</f>
        <v>17</v>
      </c>
      <c r="O20" s="14" t="str">
        <f ca="1">uxb_ranking!AJ24</f>
        <v>Uruguay</v>
      </c>
      <c r="P20" s="20">
        <f ca="1">uxb_ranking!AQ24</f>
        <v>31.3</v>
      </c>
      <c r="Q20" s="190" t="str">
        <f ca="1">uxb_ranking!CN24</f>
        <v>-6.2</v>
      </c>
      <c r="R20">
        <f ca="1">uxb_ranking!CU24</f>
        <v>-1</v>
      </c>
      <c r="S20" s="212" t="str">
        <f ca="1">uxb_ranking!AR60</f>
        <v>-</v>
      </c>
      <c r="T20">
        <f ca="1">uxb_ranking!AX60</f>
        <v>0</v>
      </c>
      <c r="U20" s="213" t="str">
        <f ca="1">uxb_ranking!DB24</f>
        <v>-4</v>
      </c>
      <c r="V20">
        <f ca="1">uxb_ranking!DI24</f>
        <v>-1</v>
      </c>
      <c r="X20" s="190">
        <f ca="1">IF($A20=0,"",uxb_ranking!BF24)</f>
        <v>17</v>
      </c>
      <c r="Y20" s="14" t="str">
        <f ca="1">uxb_ranking!AK24</f>
        <v>Argentina</v>
      </c>
      <c r="Z20" s="20">
        <f ca="1">uxb_ranking!AR24</f>
        <v>38.299999999999997</v>
      </c>
      <c r="AA20" s="190" t="str">
        <f ca="1">uxb_ranking!CO24</f>
        <v>-8.4</v>
      </c>
      <c r="AB20" s="186">
        <f ca="1">uxb_ranking!CV24</f>
        <v>-1</v>
      </c>
      <c r="AC20" s="212" t="str">
        <f ca="1">uxb_ranking!AS60</f>
        <v>-5</v>
      </c>
      <c r="AD20" s="186">
        <f ca="1">uxb_ranking!AY60</f>
        <v>-1</v>
      </c>
      <c r="AE20" s="213" t="str">
        <f ca="1">uxb_ranking!DC24</f>
        <v>-8</v>
      </c>
      <c r="AF20">
        <f ca="1">uxb_ranking!DJ24</f>
        <v>-1</v>
      </c>
      <c r="AH20" s="190" t="str">
        <f ca="1">IF($A20=0,"",uxb_ranking!BG24)</f>
        <v>=17</v>
      </c>
      <c r="AI20" s="14" t="str">
        <f ca="1">uxb_ranking!AL24</f>
        <v>Haiti</v>
      </c>
      <c r="AJ20" s="20">
        <f ca="1">uxb_ranking!AS24</f>
        <v>16.7</v>
      </c>
      <c r="AK20" s="190" t="str">
        <f ca="1">uxb_ranking!CP24</f>
        <v>new</v>
      </c>
      <c r="AL20" s="186">
        <f ca="1">uxb_ranking!CW24</f>
        <v>0</v>
      </c>
      <c r="AM20" s="212" t="str">
        <f ca="1">uxb_ranking!AT60</f>
        <v/>
      </c>
      <c r="AN20" t="str">
        <f ca="1">uxb_ranking!AZ60</f>
        <v/>
      </c>
      <c r="AO20" s="213" t="str">
        <f ca="1">uxb_ranking!DD24</f>
        <v/>
      </c>
      <c r="AP20" s="186">
        <f ca="1">uxb_ranking!DK24</f>
        <v>0</v>
      </c>
    </row>
    <row r="21" spans="1:42" ht="18" customHeight="1">
      <c r="A21" s="106">
        <v>1</v>
      </c>
      <c r="B21" s="106"/>
      <c r="D21" s="190">
        <f ca="1">IF(A21=0,"",uxb_ranking!BD25)</f>
        <v>18</v>
      </c>
      <c r="E21" s="14" t="str">
        <f ca="1">uxb_ranking!AI25</f>
        <v>Uruguay</v>
      </c>
      <c r="F21" s="15">
        <f ca="1">uxb_ranking!AP25</f>
        <v>28.3</v>
      </c>
      <c r="G21" s="190" t="str">
        <f ca="1">uxb_ranking!CM25</f>
        <v>-7.5</v>
      </c>
      <c r="H21">
        <f ca="1">uxb_ranking!CT25</f>
        <v>-1</v>
      </c>
      <c r="I21" s="212" t="str">
        <f ca="1">uxb_ranking!AQ61</f>
        <v>-1</v>
      </c>
      <c r="J21">
        <f ca="1">uxb_ranking!AW61</f>
        <v>-1</v>
      </c>
      <c r="K21" s="213" t="str">
        <f ca="1">uxb_ranking!DA25</f>
        <v>-5</v>
      </c>
      <c r="L21" s="186">
        <f ca="1">uxb_ranking!DH25</f>
        <v>-1</v>
      </c>
      <c r="N21" s="190" t="str">
        <f ca="1">IF($A21=0,"",uxb_ranking!BE25)</f>
        <v>=18</v>
      </c>
      <c r="O21" s="14" t="str">
        <f ca="1">uxb_ranking!AJ25</f>
        <v>Jamaica</v>
      </c>
      <c r="P21" s="20">
        <f ca="1">uxb_ranking!AQ25</f>
        <v>25</v>
      </c>
      <c r="Q21" s="190" t="str">
        <f ca="1">uxb_ranking!CN25</f>
        <v>new</v>
      </c>
      <c r="R21">
        <f ca="1">uxb_ranking!CU25</f>
        <v>0</v>
      </c>
      <c r="S21" s="212" t="str">
        <f ca="1">uxb_ranking!AR61</f>
        <v/>
      </c>
      <c r="T21" t="str">
        <f ca="1">uxb_ranking!AX61</f>
        <v/>
      </c>
      <c r="U21" s="213" t="str">
        <f ca="1">uxb_ranking!DB25</f>
        <v/>
      </c>
      <c r="V21">
        <f ca="1">uxb_ranking!DI25</f>
        <v>0</v>
      </c>
      <c r="X21" s="190">
        <f ca="1">IF($A21=0,"",uxb_ranking!BF25)</f>
        <v>18</v>
      </c>
      <c r="Y21" s="14" t="str">
        <f ca="1">uxb_ranking!AK25</f>
        <v>Honduras</v>
      </c>
      <c r="Z21" s="20">
        <f ca="1">uxb_ranking!AR25</f>
        <v>35.5</v>
      </c>
      <c r="AA21" s="190" t="str">
        <f ca="1">uxb_ranking!CO25</f>
        <v>new</v>
      </c>
      <c r="AB21" s="186">
        <f ca="1">uxb_ranking!CV25</f>
        <v>0</v>
      </c>
      <c r="AC21" s="212" t="str">
        <f ca="1">uxb_ranking!AS61</f>
        <v/>
      </c>
      <c r="AD21" s="186" t="str">
        <f ca="1">uxb_ranking!AY61</f>
        <v/>
      </c>
      <c r="AE21" s="213" t="str">
        <f ca="1">uxb_ranking!DC25</f>
        <v/>
      </c>
      <c r="AF21">
        <f ca="1">uxb_ranking!DJ25</f>
        <v>0</v>
      </c>
      <c r="AH21" s="190" t="str">
        <f ca="1">IF($A21=0,"",uxb_ranking!BG25)</f>
        <v>=17</v>
      </c>
      <c r="AI21" s="14" t="str">
        <f ca="1">uxb_ranking!AL25</f>
        <v>Uruguay</v>
      </c>
      <c r="AJ21" s="20">
        <f ca="1">uxb_ranking!AS25</f>
        <v>16.7</v>
      </c>
      <c r="AK21" s="190" t="str">
        <f ca="1">uxb_ranking!CP25</f>
        <v>-8.3</v>
      </c>
      <c r="AL21" s="186">
        <f ca="1">uxb_ranking!CW25</f>
        <v>-1</v>
      </c>
      <c r="AM21" s="212" t="str">
        <f ca="1">uxb_ranking!AT61</f>
        <v>-1</v>
      </c>
      <c r="AN21">
        <f ca="1">uxb_ranking!AZ61</f>
        <v>-1</v>
      </c>
      <c r="AO21" s="213" t="str">
        <f ca="1">uxb_ranking!DD25</f>
        <v>-4</v>
      </c>
      <c r="AP21" s="186">
        <f ca="1">uxb_ranking!DK25</f>
        <v>-1</v>
      </c>
    </row>
    <row r="22" spans="1:42" ht="18" customHeight="1">
      <c r="A22" s="106">
        <v>1</v>
      </c>
      <c r="B22" s="106"/>
      <c r="D22" s="190">
        <f ca="1">IF(A22=0,"",uxb_ranking!BD26)</f>
        <v>19</v>
      </c>
      <c r="E22" s="14" t="str">
        <f ca="1">uxb_ranking!AI26</f>
        <v>Venezuela</v>
      </c>
      <c r="F22" s="15">
        <f ca="1">uxb_ranking!AP26</f>
        <v>24.9</v>
      </c>
      <c r="G22" s="190" t="str">
        <f ca="1">uxb_ranking!CM26</f>
        <v>-2.5</v>
      </c>
      <c r="H22">
        <f ca="1">uxb_ranking!CT26</f>
        <v>-1</v>
      </c>
      <c r="I22" s="212" t="str">
        <f ca="1">uxb_ranking!AQ62</f>
        <v>-1</v>
      </c>
      <c r="J22">
        <f ca="1">uxb_ranking!AW62</f>
        <v>-1</v>
      </c>
      <c r="K22" s="213" t="str">
        <f ca="1">uxb_ranking!DA26</f>
        <v>-5</v>
      </c>
      <c r="L22" s="186">
        <f ca="1">uxb_ranking!DH26</f>
        <v>-1</v>
      </c>
      <c r="N22" s="190" t="str">
        <f ca="1">IF($A22=0,"",uxb_ranking!BE26)</f>
        <v>=18</v>
      </c>
      <c r="O22" s="14" t="str">
        <f ca="1">uxb_ranking!AJ26</f>
        <v>Venezuela</v>
      </c>
      <c r="P22" s="20">
        <f ca="1">uxb_ranking!AQ26</f>
        <v>25</v>
      </c>
      <c r="Q22" s="190" t="str">
        <f ca="1">uxb_ranking!CN26</f>
        <v>-6.3</v>
      </c>
      <c r="R22">
        <f ca="1">uxb_ranking!CU26</f>
        <v>-1</v>
      </c>
      <c r="S22" s="212" t="str">
        <f ca="1">uxb_ranking!AR62</f>
        <v>-</v>
      </c>
      <c r="T22">
        <f ca="1">uxb_ranking!AX62</f>
        <v>0</v>
      </c>
      <c r="U22" s="213" t="str">
        <f ca="1">uxb_ranking!DB26</f>
        <v>-4</v>
      </c>
      <c r="V22">
        <f ca="1">uxb_ranking!DI26</f>
        <v>-1</v>
      </c>
      <c r="X22" s="190">
        <f ca="1">IF($A22=0,"",uxb_ranking!BF26)</f>
        <v>19</v>
      </c>
      <c r="Y22" s="14" t="str">
        <f ca="1">uxb_ranking!AK26</f>
        <v>Ecuador</v>
      </c>
      <c r="Z22" s="20">
        <f ca="1">uxb_ranking!AR26</f>
        <v>31.7</v>
      </c>
      <c r="AA22" s="190" t="str">
        <f ca="1">uxb_ranking!CO26</f>
        <v>-9.6</v>
      </c>
      <c r="AB22" s="186">
        <f ca="1">uxb_ranking!CV26</f>
        <v>-1</v>
      </c>
      <c r="AC22" s="212" t="str">
        <f ca="1">uxb_ranking!AS62</f>
        <v>-5</v>
      </c>
      <c r="AD22" s="186">
        <f ca="1">uxb_ranking!AY62</f>
        <v>-1</v>
      </c>
      <c r="AE22" s="213" t="str">
        <f ca="1">uxb_ranking!DC26</f>
        <v>-9</v>
      </c>
      <c r="AF22">
        <f ca="1">uxb_ranking!DJ26</f>
        <v>-1</v>
      </c>
      <c r="AH22" s="190" t="str">
        <f ca="1">IF($A22=0,"",uxb_ranking!BG26)</f>
        <v>=17</v>
      </c>
      <c r="AI22" s="14" t="str">
        <f ca="1">uxb_ranking!AL26</f>
        <v>Venezuela</v>
      </c>
      <c r="AJ22" s="20">
        <f ca="1">uxb_ranking!AS26</f>
        <v>16.7</v>
      </c>
      <c r="AK22" s="190" t="str">
        <f ca="1">uxb_ranking!CP26</f>
        <v>-</v>
      </c>
      <c r="AL22" s="186">
        <f ca="1">uxb_ranking!CW26</f>
        <v>0</v>
      </c>
      <c r="AM22" s="212" t="str">
        <f ca="1">uxb_ranking!AT62</f>
        <v>+1</v>
      </c>
      <c r="AN22">
        <f ca="1">uxb_ranking!AZ62</f>
        <v>1</v>
      </c>
      <c r="AO22" s="213" t="str">
        <f ca="1">uxb_ranking!DD26</f>
        <v>-2</v>
      </c>
      <c r="AP22" s="186">
        <f ca="1">uxb_ranking!DK26</f>
        <v>-1</v>
      </c>
    </row>
    <row r="23" spans="1:42" ht="18" customHeight="1">
      <c r="A23" s="106">
        <v>1</v>
      </c>
      <c r="B23" s="106"/>
      <c r="D23" s="190">
        <f ca="1">IF(A23=0,"",uxb_ranking!BD27)</f>
        <v>20</v>
      </c>
      <c r="E23" s="14" t="str">
        <f ca="1">uxb_ranking!AI27</f>
        <v>Jamaica</v>
      </c>
      <c r="F23" s="15">
        <f ca="1">uxb_ranking!AP27</f>
        <v>21.2</v>
      </c>
      <c r="G23" s="190" t="str">
        <f ca="1">uxb_ranking!CM27</f>
        <v>new</v>
      </c>
      <c r="H23">
        <f ca="1">uxb_ranking!CT27</f>
        <v>0</v>
      </c>
      <c r="I23" s="212" t="str">
        <f ca="1">uxb_ranking!AQ63</f>
        <v/>
      </c>
      <c r="J23" t="str">
        <f ca="1">uxb_ranking!AW63</f>
        <v/>
      </c>
      <c r="K23" s="213" t="str">
        <f ca="1">uxb_ranking!DA27</f>
        <v/>
      </c>
      <c r="L23" s="186">
        <f ca="1">uxb_ranking!DH27</f>
        <v>0</v>
      </c>
      <c r="N23" s="190">
        <f ca="1">IF($A23=0,"",uxb_ranking!BE27)</f>
        <v>20</v>
      </c>
      <c r="O23" s="14" t="str">
        <f ca="1">uxb_ranking!AJ27</f>
        <v>Argentina</v>
      </c>
      <c r="P23" s="20">
        <f ca="1">uxb_ranking!AQ27</f>
        <v>18.8</v>
      </c>
      <c r="Q23" s="190" t="str">
        <f ca="1">uxb_ranking!CN27</f>
        <v>-</v>
      </c>
      <c r="R23">
        <f ca="1">uxb_ranking!CU27</f>
        <v>0</v>
      </c>
      <c r="S23" s="212" t="str">
        <f ca="1">uxb_ranking!AR63</f>
        <v>-</v>
      </c>
      <c r="T23">
        <f ca="1">uxb_ranking!AX63</f>
        <v>0</v>
      </c>
      <c r="U23" s="213" t="str">
        <f ca="1">uxb_ranking!DB27</f>
        <v>-5</v>
      </c>
      <c r="V23">
        <f ca="1">uxb_ranking!DI27</f>
        <v>-1</v>
      </c>
      <c r="X23" s="190">
        <f ca="1">IF($A23=0,"",uxb_ranking!BF27)</f>
        <v>20</v>
      </c>
      <c r="Y23" s="14" t="str">
        <f ca="1">uxb_ranking!AK27</f>
        <v>Haiti</v>
      </c>
      <c r="Z23" s="20">
        <f ca="1">uxb_ranking!AR27</f>
        <v>30</v>
      </c>
      <c r="AA23" s="190" t="str">
        <f ca="1">uxb_ranking!CO27</f>
        <v>new</v>
      </c>
      <c r="AB23" s="186">
        <f ca="1">uxb_ranking!CV27</f>
        <v>0</v>
      </c>
      <c r="AC23" s="212" t="str">
        <f ca="1">uxb_ranking!AS63</f>
        <v/>
      </c>
      <c r="AD23" s="186" t="str">
        <f ca="1">uxb_ranking!AY63</f>
        <v/>
      </c>
      <c r="AE23" s="213" t="str">
        <f ca="1">uxb_ranking!DC27</f>
        <v/>
      </c>
      <c r="AF23">
        <f ca="1">uxb_ranking!DJ27</f>
        <v>0</v>
      </c>
      <c r="AH23" s="190">
        <f ca="1">IF($A23=0,"",uxb_ranking!BG27)</f>
        <v>20</v>
      </c>
      <c r="AI23" s="14" t="str">
        <f ca="1">uxb_ranking!AL27</f>
        <v>Jamaica</v>
      </c>
      <c r="AJ23" s="20">
        <f ca="1">uxb_ranking!AS27</f>
        <v>0</v>
      </c>
      <c r="AK23" s="190" t="str">
        <f ca="1">uxb_ranking!CP27</f>
        <v>new</v>
      </c>
      <c r="AL23" s="186">
        <f ca="1">uxb_ranking!CW27</f>
        <v>0</v>
      </c>
      <c r="AM23" s="212" t="str">
        <f ca="1">uxb_ranking!AT63</f>
        <v/>
      </c>
      <c r="AN23" t="str">
        <f ca="1">uxb_ranking!AZ63</f>
        <v/>
      </c>
      <c r="AO23" s="213" t="str">
        <f ca="1">uxb_ranking!DD27</f>
        <v/>
      </c>
      <c r="AP23" s="186">
        <f ca="1">uxb_ranking!DK27</f>
        <v>0</v>
      </c>
    </row>
  </sheetData>
  <phoneticPr fontId="0" type="noConversion"/>
  <conditionalFormatting sqref="E4:E23 AI4:AI23 Y4:Y23 O4:O23">
    <cfRule type="expression" dxfId="50" priority="34" stopIfTrue="1">
      <formula>$A4=0</formula>
    </cfRule>
    <cfRule type="cellIs" dxfId="49" priority="35" stopIfTrue="1" operator="equal">
      <formula>$A$2</formula>
    </cfRule>
  </conditionalFormatting>
  <conditionalFormatting sqref="F4:F23 P4:P23 Z4:Z23 AJ4:AJ23">
    <cfRule type="expression" dxfId="48" priority="33">
      <formula>E4=$A$2</formula>
    </cfRule>
  </conditionalFormatting>
  <conditionalFormatting sqref="D4:D23 N4:N23 X4:X23 AH4:AH23">
    <cfRule type="expression" dxfId="47" priority="31" stopIfTrue="1">
      <formula>$A4=0</formula>
    </cfRule>
    <cfRule type="expression" dxfId="46" priority="32" stopIfTrue="1">
      <formula>$A$2=E4</formula>
    </cfRule>
  </conditionalFormatting>
  <conditionalFormatting sqref="D3:I3 K3">
    <cfRule type="expression" dxfId="45" priority="30" stopIfTrue="1">
      <formula>$A$2=2</formula>
    </cfRule>
  </conditionalFormatting>
  <conditionalFormatting sqref="G4:G23 Q4:Q23 AA4:AA23 AK4:AK23">
    <cfRule type="expression" dxfId="44" priority="27" stopIfTrue="1">
      <formula>$A$2=E4</formula>
    </cfRule>
    <cfRule type="expression" dxfId="43" priority="28" stopIfTrue="1">
      <formula>H4=1</formula>
    </cfRule>
    <cfRule type="expression" dxfId="42" priority="29" stopIfTrue="1">
      <formula>H4=-1</formula>
    </cfRule>
  </conditionalFormatting>
  <conditionalFormatting sqref="I4:I23 S4:S23 AC4:AC23 AM4:AM23">
    <cfRule type="expression" dxfId="41" priority="49" stopIfTrue="1">
      <formula>$A$2=E4</formula>
    </cfRule>
    <cfRule type="expression" dxfId="40" priority="50" stopIfTrue="1">
      <formula>J4=1</formula>
    </cfRule>
    <cfRule type="expression" dxfId="39" priority="51" stopIfTrue="1">
      <formula>J4=-1</formula>
    </cfRule>
  </conditionalFormatting>
  <conditionalFormatting sqref="K4:K23 U4:U23 AE4:AE23 AO4:AO23">
    <cfRule type="expression" dxfId="38" priority="64" stopIfTrue="1">
      <formula>$A$2=E4</formula>
    </cfRule>
    <cfRule type="expression" dxfId="37" priority="65" stopIfTrue="1">
      <formula>L4=1</formula>
    </cfRule>
    <cfRule type="expression" dxfId="36" priority="66" stopIfTrue="1">
      <formula>L4=-1</formula>
    </cfRule>
  </conditionalFormatting>
  <pageMargins left="0.74803149606299213" right="0.74803149606299213" top="0.59055118110236227" bottom="0.59055118110236227" header="0.51181102362204722" footer="0.51181102362204722"/>
  <pageSetup scale="85"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sheetPr codeName="Sheet20">
    <pageSetUpPr fitToPage="1"/>
  </sheetPr>
  <dimension ref="A1:CU20"/>
  <sheetViews>
    <sheetView showGridLines="0" showRowColHeaders="0" zoomScale="80" zoomScaleNormal="80" workbookViewId="0">
      <selection activeCell="X21" sqref="X21"/>
    </sheetView>
  </sheetViews>
  <sheetFormatPr defaultRowHeight="12.75"/>
  <cols>
    <col min="1" max="1" width="2.140625" customWidth="1"/>
    <col min="2" max="2" width="2.42578125" customWidth="1"/>
    <col min="3" max="3" width="5.7109375" hidden="1" customWidth="1"/>
    <col min="4" max="4" width="3.7109375" hidden="1" customWidth="1"/>
    <col min="5" max="5" width="3.7109375" bestFit="1" customWidth="1"/>
    <col min="6" max="6" width="16.85546875" customWidth="1"/>
    <col min="8" max="8" width="7.42578125" customWidth="1"/>
    <col min="9" max="9" width="3" hidden="1" customWidth="1"/>
    <col min="10" max="10" width="3.85546875" customWidth="1"/>
    <col min="11" max="11" width="3" hidden="1" customWidth="1"/>
    <col min="12" max="12" width="3.85546875" hidden="1" customWidth="1"/>
    <col min="13" max="13" width="3.7109375" bestFit="1" customWidth="1"/>
    <col min="14" max="14" width="16" customWidth="1"/>
    <col min="16" max="16" width="7.140625" customWidth="1"/>
    <col min="17" max="17" width="2.7109375" hidden="1" customWidth="1"/>
    <col min="18" max="18" width="3.85546875" customWidth="1"/>
    <col min="19" max="19" width="3.28515625" hidden="1" customWidth="1"/>
    <col min="20" max="21" width="2.7109375" hidden="1" customWidth="1"/>
    <col min="22" max="22" width="3.85546875" hidden="1" customWidth="1"/>
    <col min="23" max="23" width="3.7109375" bestFit="1" customWidth="1"/>
    <col min="24" max="24" width="16.140625" customWidth="1"/>
    <col min="26" max="26" width="6.42578125" customWidth="1"/>
    <col min="27" max="27" width="4.5703125" style="186" hidden="1" customWidth="1"/>
    <col min="28" max="28" width="4.5703125" style="186" customWidth="1"/>
    <col min="29" max="29" width="3.140625" style="186" hidden="1" customWidth="1"/>
    <col min="30" max="30" width="3.85546875" hidden="1" customWidth="1"/>
    <col min="31" max="31" width="3.7109375" bestFit="1" customWidth="1"/>
    <col min="32" max="32" width="16" customWidth="1"/>
    <col min="33" max="33" width="8.28515625" customWidth="1"/>
    <col min="34" max="34" width="7.28515625" customWidth="1"/>
    <col min="35" max="35" width="4.42578125" style="186" hidden="1" customWidth="1"/>
  </cols>
  <sheetData>
    <row r="1" spans="1:99" s="9" customFormat="1" ht="21" customHeight="1">
      <c r="A1" s="21" t="s">
        <v>46</v>
      </c>
      <c r="B1" s="21"/>
      <c r="C1" s="21"/>
      <c r="D1" s="7"/>
      <c r="E1" s="7"/>
      <c r="F1" s="7"/>
      <c r="G1" s="7"/>
      <c r="H1" s="7"/>
      <c r="I1" s="7"/>
      <c r="J1" s="7"/>
      <c r="K1" s="7"/>
      <c r="L1" s="7"/>
      <c r="M1" s="7"/>
      <c r="N1" s="7"/>
      <c r="O1" s="7"/>
      <c r="P1" s="7"/>
      <c r="Q1" s="7"/>
      <c r="R1" s="7"/>
      <c r="S1" s="7"/>
      <c r="T1" s="7"/>
      <c r="U1" s="7"/>
      <c r="V1" s="7"/>
      <c r="W1" s="7"/>
      <c r="X1" s="7"/>
      <c r="Y1" s="7"/>
      <c r="Z1" s="7"/>
      <c r="AA1" s="185"/>
      <c r="AB1" s="185"/>
      <c r="AC1" s="185"/>
      <c r="AD1" s="7"/>
      <c r="AE1" s="7"/>
      <c r="AF1" s="7"/>
      <c r="AG1" s="7"/>
      <c r="AH1" s="7"/>
      <c r="AI1" s="185"/>
      <c r="AJ1" s="8"/>
      <c r="AK1" s="7"/>
      <c r="AL1" s="7"/>
      <c r="AN1" s="7"/>
      <c r="AO1" s="7"/>
      <c r="AQ1" s="7"/>
      <c r="AR1" s="7"/>
      <c r="BH1" s="10"/>
      <c r="BI1" s="10"/>
      <c r="BJ1" s="10"/>
      <c r="BK1" s="10"/>
      <c r="BN1" s="11"/>
      <c r="BO1" s="11"/>
      <c r="BP1" s="11"/>
      <c r="BQ1" s="11"/>
      <c r="BR1" s="11"/>
      <c r="BS1" s="11"/>
      <c r="BT1" s="11"/>
      <c r="BU1" s="11"/>
      <c r="BV1" s="11"/>
      <c r="BW1" s="11"/>
      <c r="BY1" s="11"/>
      <c r="BZ1" s="11"/>
      <c r="CA1" s="11"/>
      <c r="CB1" s="11"/>
      <c r="CC1" s="11"/>
      <c r="CD1" s="11"/>
      <c r="CE1" s="11"/>
      <c r="CF1" s="11"/>
      <c r="CG1" s="11"/>
      <c r="CH1" s="11"/>
      <c r="CI1" s="11"/>
      <c r="CK1" s="11"/>
      <c r="CL1" s="11"/>
      <c r="CM1" s="11"/>
      <c r="CN1" s="11"/>
      <c r="CO1" s="11"/>
      <c r="CP1" s="11"/>
      <c r="CQ1" s="11"/>
      <c r="CR1" s="11"/>
      <c r="CS1" s="11"/>
      <c r="CT1" s="11"/>
      <c r="CU1" s="11"/>
    </row>
    <row r="2" spans="1:99" ht="20.25" customHeight="1">
      <c r="A2" s="106" t="str">
        <f ca="1">uxb_globals!B5</f>
        <v>Peru</v>
      </c>
      <c r="B2" s="106"/>
      <c r="C2" s="106"/>
      <c r="D2" s="106"/>
    </row>
    <row r="3" spans="1:99" ht="20.25" customHeight="1">
      <c r="A3" s="106"/>
      <c r="B3" s="106"/>
      <c r="C3" s="106"/>
      <c r="D3" s="106"/>
    </row>
    <row r="4" spans="1:99" ht="24.75" customHeight="1">
      <c r="A4" s="106"/>
      <c r="B4" s="106"/>
      <c r="C4" s="106"/>
      <c r="D4" s="111" t="s">
        <v>484</v>
      </c>
      <c r="E4" s="111" t="s">
        <v>484</v>
      </c>
      <c r="F4" s="12"/>
      <c r="G4" s="191">
        <v>2008</v>
      </c>
      <c r="H4" s="191" t="s">
        <v>160</v>
      </c>
      <c r="M4" s="110" t="str">
        <f ca="1">uxb_scores_2007!C4</f>
        <v xml:space="preserve">Regulatory Framework </v>
      </c>
      <c r="N4" s="17"/>
      <c r="O4" s="209">
        <v>2008</v>
      </c>
      <c r="P4" s="210" t="s">
        <v>160</v>
      </c>
      <c r="W4" s="110" t="str">
        <f ca="1">uxb_scores_2007!C5</f>
        <v>Investment Climate</v>
      </c>
      <c r="X4" s="17"/>
      <c r="Y4" s="209">
        <v>2008</v>
      </c>
      <c r="Z4" s="210" t="s">
        <v>160</v>
      </c>
      <c r="AE4" s="110" t="str">
        <f ca="1">uxb_scores_2007!C6</f>
        <v>Institutional Development</v>
      </c>
      <c r="AF4" s="17"/>
      <c r="AG4" s="209">
        <v>2008</v>
      </c>
      <c r="AH4" s="210" t="s">
        <v>160</v>
      </c>
    </row>
    <row r="5" spans="1:99" ht="18" customHeight="1">
      <c r="A5" s="106">
        <v>1</v>
      </c>
      <c r="B5" s="106"/>
      <c r="C5" s="186">
        <f ca="1">uxb_ranking!FS8</f>
        <v>1</v>
      </c>
      <c r="D5" s="13" t="str">
        <f ca="1">uxb_ranking!FL8</f>
        <v>+5</v>
      </c>
      <c r="E5" s="190">
        <f ca="1">IF(A5=0,"",uxb_ranking!A8)</f>
        <v>1</v>
      </c>
      <c r="F5" s="14" t="str">
        <f ca="1">uxb_ranking!EC8</f>
        <v>Colombia</v>
      </c>
      <c r="G5" s="15">
        <f ca="1">uxb_ranking!EJ8</f>
        <v>58.6</v>
      </c>
      <c r="H5" s="190" t="str">
        <f ca="1">uxb_ranking!EX8</f>
        <v>+12.5</v>
      </c>
      <c r="I5">
        <f ca="1">uxb_ranking!FE8</f>
        <v>1</v>
      </c>
      <c r="K5">
        <f ca="1">uxb_ranking!FT8</f>
        <v>1</v>
      </c>
      <c r="L5" s="13" t="str">
        <f ca="1">uxb_ranking!FM8</f>
        <v>+4</v>
      </c>
      <c r="M5" s="190">
        <f ca="1">IF($A5=0,"",uxb_ranking!$A8)</f>
        <v>1</v>
      </c>
      <c r="N5" s="14" t="str">
        <f ca="1">uxb_ranking!ED8</f>
        <v>Colombia</v>
      </c>
      <c r="O5" s="20">
        <f ca="1">uxb_ranking!EK8</f>
        <v>62.5</v>
      </c>
      <c r="P5" s="190" t="str">
        <f ca="1">uxb_ranking!EY8</f>
        <v>+12.5</v>
      </c>
      <c r="Q5">
        <f ca="1">uxb_ranking!FF8</f>
        <v>1</v>
      </c>
      <c r="U5">
        <f ca="1">uxb_ranking!FU8</f>
        <v>-1</v>
      </c>
      <c r="V5" s="13" t="str">
        <f ca="1">uxb_ranking!FN8</f>
        <v>-1</v>
      </c>
      <c r="W5" s="190">
        <f ca="1">IF($A5=0,"",uxb_ranking!$A8)</f>
        <v>1</v>
      </c>
      <c r="X5" s="14" t="str">
        <f ca="1">uxb_ranking!EE8</f>
        <v>Colombia</v>
      </c>
      <c r="Y5" s="20">
        <f ca="1">uxb_ranking!EL8</f>
        <v>51.4</v>
      </c>
      <c r="Z5" s="190" t="str">
        <f ca="1">uxb_ranking!EZ8</f>
        <v>+4.3</v>
      </c>
      <c r="AA5" s="186">
        <f ca="1">uxb_ranking!FG8</f>
        <v>1</v>
      </c>
      <c r="AC5" s="186">
        <f ca="1">uxb_ranking!FV8</f>
        <v>1</v>
      </c>
      <c r="AD5" s="13" t="str">
        <f ca="1">uxb_ranking!FO8</f>
        <v>+4</v>
      </c>
      <c r="AE5" s="190">
        <f ca="1">IF($A5=0,"",uxb_ranking!$A8)</f>
        <v>1</v>
      </c>
      <c r="AF5" s="14" t="str">
        <f ca="1">uxb_ranking!EF8</f>
        <v>Guatemala</v>
      </c>
      <c r="AG5" s="20">
        <f ca="1">uxb_ranking!EM8</f>
        <v>58.3</v>
      </c>
      <c r="AH5" s="190" t="str">
        <f ca="1">uxb_ranking!FA8</f>
        <v>+25.0</v>
      </c>
      <c r="AI5" s="186">
        <f ca="1">uxb_ranking!FH8</f>
        <v>1</v>
      </c>
    </row>
    <row r="6" spans="1:99" ht="18" customHeight="1">
      <c r="A6" s="106">
        <v>1</v>
      </c>
      <c r="B6" s="106"/>
      <c r="C6" s="186">
        <f ca="1">uxb_ranking!FS9</f>
        <v>1</v>
      </c>
      <c r="D6" s="13" t="str">
        <f ca="1">uxb_ranking!FL9</f>
        <v>+4</v>
      </c>
      <c r="E6" s="190">
        <f ca="1">IF(A6=0,"",uxb_ranking!A9)</f>
        <v>2</v>
      </c>
      <c r="F6" s="14" t="str">
        <f ca="1">uxb_ranking!EC9</f>
        <v>Guatemala</v>
      </c>
      <c r="G6" s="15">
        <f ca="1">uxb_ranking!EJ9</f>
        <v>54</v>
      </c>
      <c r="H6" s="190" t="str">
        <f ca="1">uxb_ranking!EX9</f>
        <v>+10.0</v>
      </c>
      <c r="I6">
        <f ca="1">uxb_ranking!FE9</f>
        <v>1</v>
      </c>
      <c r="K6">
        <f ca="1">uxb_ranking!FT9</f>
        <v>1</v>
      </c>
      <c r="L6" s="13" t="str">
        <f ca="1">uxb_ranking!FM9</f>
        <v>+2</v>
      </c>
      <c r="M6" s="190">
        <f ca="1">IF($A6=0,"",uxb_ranking!$A9)</f>
        <v>2</v>
      </c>
      <c r="N6" s="14" t="str">
        <f ca="1">uxb_ranking!ED9</f>
        <v>Mexico</v>
      </c>
      <c r="O6" s="20">
        <f ca="1">uxb_ranking!EK9</f>
        <v>56.3</v>
      </c>
      <c r="P6" s="190" t="str">
        <f ca="1">uxb_ranking!EY9</f>
        <v>+6.3</v>
      </c>
      <c r="Q6">
        <f ca="1">uxb_ranking!FF9</f>
        <v>1</v>
      </c>
      <c r="U6">
        <f ca="1">uxb_ranking!FU9</f>
        <v>1</v>
      </c>
      <c r="V6" s="13" t="str">
        <f ca="1">uxb_ranking!FN9</f>
        <v>+1</v>
      </c>
      <c r="W6" s="190">
        <f ca="1">IF($A6=0,"",uxb_ranking!$A9)</f>
        <v>2</v>
      </c>
      <c r="X6" s="14" t="str">
        <f ca="1">uxb_ranking!EE9</f>
        <v>Nicaragua</v>
      </c>
      <c r="Y6" s="20">
        <f ca="1">uxb_ranking!EL9</f>
        <v>44.2</v>
      </c>
      <c r="Z6" s="190" t="str">
        <f ca="1">uxb_ranking!EZ9</f>
        <v>+4.2</v>
      </c>
      <c r="AA6" s="186">
        <f ca="1">uxb_ranking!FG9</f>
        <v>1</v>
      </c>
      <c r="AC6" s="186">
        <f ca="1">uxb_ranking!FV9</f>
        <v>1</v>
      </c>
      <c r="AD6" s="13" t="str">
        <f ca="1">uxb_ranking!FO9</f>
        <v>+2</v>
      </c>
      <c r="AE6" s="190">
        <f ca="1">IF($A6=0,"",uxb_ranking!$A9)</f>
        <v>2</v>
      </c>
      <c r="AF6" s="14" t="str">
        <f ca="1">uxb_ranking!EF9</f>
        <v>Colombia</v>
      </c>
      <c r="AG6" s="20">
        <f ca="1">uxb_ranking!EM9</f>
        <v>58.3</v>
      </c>
      <c r="AH6" s="190" t="str">
        <f ca="1">uxb_ranking!FA9</f>
        <v>+16.6</v>
      </c>
      <c r="AI6" s="186">
        <f ca="1">uxb_ranking!FH9</f>
        <v>1</v>
      </c>
    </row>
    <row r="7" spans="1:99" ht="18" customHeight="1">
      <c r="A7" s="106">
        <v>1</v>
      </c>
      <c r="B7" s="106"/>
      <c r="C7" s="186">
        <f ca="1">uxb_ranking!FS10</f>
        <v>0</v>
      </c>
      <c r="D7" s="13" t="str">
        <f ca="1">uxb_ranking!FL10</f>
        <v>-</v>
      </c>
      <c r="E7" s="190">
        <f ca="1">IF(A7=0,"",uxb_ranking!A10)</f>
        <v>3</v>
      </c>
      <c r="F7" s="14" t="str">
        <f ca="1">uxb_ranking!EC10</f>
        <v>Nicaragua</v>
      </c>
      <c r="G7" s="15">
        <f ca="1">uxb_ranking!EJ10</f>
        <v>58</v>
      </c>
      <c r="H7" s="190" t="str">
        <f ca="1">uxb_ranking!EX10</f>
        <v>+4.2</v>
      </c>
      <c r="I7">
        <f ca="1">uxb_ranking!FE10</f>
        <v>1</v>
      </c>
      <c r="K7">
        <f ca="1">uxb_ranking!FT10</f>
        <v>1</v>
      </c>
      <c r="L7" s="13" t="str">
        <f ca="1">uxb_ranking!FM10</f>
        <v>+1</v>
      </c>
      <c r="M7" s="190">
        <f ca="1">IF($A7=0,"",uxb_ranking!$A10)</f>
        <v>3</v>
      </c>
      <c r="N7" s="14" t="str">
        <f ca="1">uxb_ranking!ED10</f>
        <v>Peru</v>
      </c>
      <c r="O7" s="20">
        <f ca="1">uxb_ranking!EK10</f>
        <v>87.5</v>
      </c>
      <c r="P7" s="190" t="str">
        <f ca="1">uxb_ranking!EY10</f>
        <v>+6.2</v>
      </c>
      <c r="Q7">
        <f ca="1">uxb_ranking!FF10</f>
        <v>1</v>
      </c>
      <c r="U7">
        <f ca="1">uxb_ranking!FU10</f>
        <v>0</v>
      </c>
      <c r="V7" s="13" t="str">
        <f ca="1">uxb_ranking!FN10</f>
        <v>-</v>
      </c>
      <c r="W7" s="190">
        <f ca="1">IF($A7=0,"",uxb_ranking!$A10)</f>
        <v>3</v>
      </c>
      <c r="X7" s="14" t="str">
        <f ca="1">uxb_ranking!EE10</f>
        <v>Dominican Rep</v>
      </c>
      <c r="Y7" s="20">
        <f ca="1">uxb_ranking!EL10</f>
        <v>40</v>
      </c>
      <c r="Z7" s="190" t="str">
        <f ca="1">uxb_ranking!EZ10</f>
        <v>+2.5</v>
      </c>
      <c r="AA7" s="186">
        <f ca="1">uxb_ranking!FG10</f>
        <v>1</v>
      </c>
      <c r="AC7" s="186">
        <f ca="1">uxb_ranking!FV10</f>
        <v>1</v>
      </c>
      <c r="AD7" s="13" t="str">
        <f ca="1">uxb_ranking!FO10</f>
        <v>+2</v>
      </c>
      <c r="AE7" s="190">
        <f ca="1">IF($A7=0,"",uxb_ranking!$A10)</f>
        <v>3</v>
      </c>
      <c r="AF7" s="14" t="str">
        <f ca="1">uxb_ranking!EF10</f>
        <v>Nicaragua</v>
      </c>
      <c r="AG7" s="20">
        <f ca="1">uxb_ranking!EM10</f>
        <v>66.7</v>
      </c>
      <c r="AH7" s="190" t="str">
        <f ca="1">uxb_ranking!FA10</f>
        <v>+8.4</v>
      </c>
      <c r="AI7" s="186">
        <f ca="1">uxb_ranking!FH10</f>
        <v>1</v>
      </c>
    </row>
    <row r="8" spans="1:99" ht="18" customHeight="1">
      <c r="A8" s="106">
        <v>1</v>
      </c>
      <c r="B8" s="106"/>
      <c r="C8" s="186">
        <f ca="1">uxb_ranking!FS11</f>
        <v>1</v>
      </c>
      <c r="D8" s="13" t="str">
        <f ca="1">uxb_ranking!FL11</f>
        <v>+1</v>
      </c>
      <c r="E8" s="190">
        <f ca="1">IF(A8=0,"",uxb_ranking!A11)</f>
        <v>4</v>
      </c>
      <c r="F8" s="14" t="str">
        <f ca="1">uxb_ranking!EC11</f>
        <v>Peru</v>
      </c>
      <c r="G8" s="15">
        <f ca="1">uxb_ranking!EJ11</f>
        <v>76.599999999999994</v>
      </c>
      <c r="H8" s="190" t="str">
        <f ca="1">uxb_ranking!EX11</f>
        <v>+2.5</v>
      </c>
      <c r="I8">
        <f ca="1">uxb_ranking!FE11</f>
        <v>1</v>
      </c>
      <c r="K8">
        <f ca="1">uxb_ranking!FT11</f>
        <v>-1</v>
      </c>
      <c r="L8" s="13" t="str">
        <f ca="1">uxb_ranking!FM11</f>
        <v>-5</v>
      </c>
      <c r="M8" s="190">
        <f ca="1">IF($A8=0,"",uxb_ranking!$A11)</f>
        <v>4</v>
      </c>
      <c r="N8" s="14" t="str">
        <f ca="1">uxb_ranking!ED11</f>
        <v>Argentina</v>
      </c>
      <c r="O8" s="20">
        <f ca="1">uxb_ranking!EK11</f>
        <v>18.8</v>
      </c>
      <c r="P8" s="190" t="str">
        <f ca="1">uxb_ranking!EY11</f>
        <v>-</v>
      </c>
      <c r="Q8">
        <f ca="1">uxb_ranking!FF11</f>
        <v>0</v>
      </c>
      <c r="U8">
        <f ca="1">uxb_ranking!FU11</f>
        <v>-1</v>
      </c>
      <c r="V8" s="13" t="str">
        <f ca="1">uxb_ranking!FN11</f>
        <v>-2</v>
      </c>
      <c r="W8" s="190">
        <f ca="1">IF($A8=0,"",uxb_ranking!$A11)</f>
        <v>4</v>
      </c>
      <c r="X8" s="14" t="str">
        <f ca="1">uxb_ranking!EE11</f>
        <v>Paraguay</v>
      </c>
      <c r="Y8" s="20">
        <f ca="1">uxb_ranking!EL11</f>
        <v>39.700000000000003</v>
      </c>
      <c r="Z8" s="190" t="str">
        <f ca="1">uxb_ranking!EZ11</f>
        <v>+0.1</v>
      </c>
      <c r="AA8" s="186">
        <f ca="1">uxb_ranking!FG11</f>
        <v>1</v>
      </c>
      <c r="AC8" s="186">
        <f ca="1">uxb_ranking!FV11</f>
        <v>1</v>
      </c>
      <c r="AD8" s="13" t="str">
        <f ca="1">uxb_ranking!FO11</f>
        <v>+2</v>
      </c>
      <c r="AE8" s="190">
        <f ca="1">IF($A8=0,"",uxb_ranking!$A11)</f>
        <v>4</v>
      </c>
      <c r="AF8" s="14" t="str">
        <f ca="1">uxb_ranking!EF11</f>
        <v>Argentina</v>
      </c>
      <c r="AG8" s="20">
        <f ca="1">uxb_ranking!EM11</f>
        <v>33.299999999999997</v>
      </c>
      <c r="AH8" s="190" t="str">
        <f ca="1">uxb_ranking!FA11</f>
        <v>+8.3</v>
      </c>
      <c r="AI8" s="186">
        <f ca="1">uxb_ranking!FH11</f>
        <v>1</v>
      </c>
    </row>
    <row r="9" spans="1:99" ht="18" customHeight="1">
      <c r="A9" s="106">
        <v>1</v>
      </c>
      <c r="B9" s="106"/>
      <c r="C9" s="186">
        <f ca="1">uxb_ranking!FS12</f>
        <v>-1</v>
      </c>
      <c r="D9" s="13" t="str">
        <f ca="1">uxb_ranking!FL12</f>
        <v>-2</v>
      </c>
      <c r="E9" s="190">
        <f ca="1">IF(A9=0,"",uxb_ranking!A12)</f>
        <v>5</v>
      </c>
      <c r="F9" s="14" t="str">
        <f ca="1">uxb_ranking!EC12</f>
        <v>Argentina</v>
      </c>
      <c r="G9" s="15">
        <f ca="1">uxb_ranking!EJ12</f>
        <v>28.5</v>
      </c>
      <c r="H9" s="190" t="str">
        <f ca="1">uxb_ranking!EX12</f>
        <v>+1.7</v>
      </c>
      <c r="I9">
        <f ca="1">uxb_ranking!FE12</f>
        <v>1</v>
      </c>
      <c r="K9">
        <f ca="1">uxb_ranking!FT12</f>
        <v>-1</v>
      </c>
      <c r="L9" s="13" t="str">
        <f ca="1">uxb_ranking!FM12</f>
        <v>-1</v>
      </c>
      <c r="M9" s="190">
        <f ca="1">IF($A9=0,"",uxb_ranking!$A12)</f>
        <v>5</v>
      </c>
      <c r="N9" s="14" t="str">
        <f ca="1">uxb_ranking!ED12</f>
        <v>Brazil</v>
      </c>
      <c r="O9" s="20">
        <f ca="1">uxb_ranking!EK12</f>
        <v>43.8</v>
      </c>
      <c r="P9" s="190" t="str">
        <f ca="1">uxb_ranking!EY12</f>
        <v>-</v>
      </c>
      <c r="Q9">
        <f ca="1">uxb_ranking!FF12</f>
        <v>0</v>
      </c>
      <c r="U9">
        <f ca="1">uxb_ranking!FU12</f>
        <v>-1</v>
      </c>
      <c r="V9" s="13" t="str">
        <f ca="1">uxb_ranking!FN12</f>
        <v>-3</v>
      </c>
      <c r="W9" s="190">
        <f ca="1">IF($A9=0,"",uxb_ranking!$A12)</f>
        <v>5</v>
      </c>
      <c r="X9" s="14" t="str">
        <f ca="1">uxb_ranking!EE12</f>
        <v>Venezuela</v>
      </c>
      <c r="Y9" s="20">
        <f ca="1">uxb_ranking!EL12</f>
        <v>41.4</v>
      </c>
      <c r="Z9" s="190" t="str">
        <f ca="1">uxb_ranking!EZ12</f>
        <v>+0.1</v>
      </c>
      <c r="AA9" s="186">
        <f ca="1">uxb_ranking!FG12</f>
        <v>1</v>
      </c>
      <c r="AC9" s="186">
        <f ca="1">uxb_ranking!FV12</f>
        <v>0</v>
      </c>
      <c r="AD9" s="13" t="str">
        <f ca="1">uxb_ranking!FO12</f>
        <v>-</v>
      </c>
      <c r="AE9" s="190">
        <f ca="1">IF($A9=0,"",uxb_ranking!$A12)</f>
        <v>5</v>
      </c>
      <c r="AF9" s="14" t="str">
        <f ca="1">uxb_ranking!EF12</f>
        <v>Ecuador</v>
      </c>
      <c r="AG9" s="20">
        <f ca="1">uxb_ranking!EM12</f>
        <v>83.3</v>
      </c>
      <c r="AH9" s="190" t="str">
        <f ca="1">uxb_ranking!FA12</f>
        <v>+8.3</v>
      </c>
      <c r="AI9" s="186">
        <f ca="1">uxb_ranking!FH12</f>
        <v>1</v>
      </c>
    </row>
    <row r="10" spans="1:99" ht="18" customHeight="1">
      <c r="A10" s="106">
        <v>1</v>
      </c>
      <c r="B10" s="106"/>
      <c r="C10" s="186">
        <f ca="1">uxb_ranking!FS13</f>
        <v>0</v>
      </c>
      <c r="D10" s="13" t="str">
        <f ca="1">uxb_ranking!FL13</f>
        <v>-</v>
      </c>
      <c r="E10" s="190">
        <f ca="1">IF(A10=0,"",uxb_ranking!A13)</f>
        <v>6</v>
      </c>
      <c r="F10" s="14" t="str">
        <f ca="1">uxb_ranking!EC13</f>
        <v>Ecuador</v>
      </c>
      <c r="G10" s="15">
        <f ca="1">uxb_ranking!EJ13</f>
        <v>69.7</v>
      </c>
      <c r="H10" s="190" t="str">
        <f ca="1">uxb_ranking!EX13</f>
        <v>+1.4</v>
      </c>
      <c r="I10">
        <f ca="1">uxb_ranking!FE13</f>
        <v>1</v>
      </c>
      <c r="K10">
        <f ca="1">uxb_ranking!FT13</f>
        <v>-1</v>
      </c>
      <c r="L10" s="13" t="str">
        <f ca="1">uxb_ranking!FM13</f>
        <v>-3</v>
      </c>
      <c r="M10" s="190">
        <f ca="1">IF($A10=0,"",uxb_ranking!$A13)</f>
        <v>6</v>
      </c>
      <c r="N10" s="14" t="str">
        <f ca="1">uxb_ranking!ED13</f>
        <v>Dominican Rep</v>
      </c>
      <c r="O10" s="20">
        <f ca="1">uxb_ranking!EK13</f>
        <v>50</v>
      </c>
      <c r="P10" s="190" t="str">
        <f ca="1">uxb_ranking!EY13</f>
        <v>-</v>
      </c>
      <c r="Q10">
        <f ca="1">uxb_ranking!FF13</f>
        <v>0</v>
      </c>
      <c r="U10">
        <f ca="1">uxb_ranking!FU13</f>
        <v>-1</v>
      </c>
      <c r="V10" s="13" t="str">
        <f ca="1">uxb_ranking!FN13</f>
        <v>-1</v>
      </c>
      <c r="W10" s="190">
        <f ca="1">IF($A10=0,"",uxb_ranking!$A13)</f>
        <v>6</v>
      </c>
      <c r="X10" s="14" t="str">
        <f ca="1">uxb_ranking!EE13</f>
        <v>Peru</v>
      </c>
      <c r="Y10" s="20">
        <f ca="1">uxb_ranking!EL13</f>
        <v>58</v>
      </c>
      <c r="Z10" s="190" t="str">
        <f ca="1">uxb_ranking!EZ13</f>
        <v>+0.1</v>
      </c>
      <c r="AA10" s="186">
        <f ca="1">uxb_ranking!FG13</f>
        <v>1</v>
      </c>
      <c r="AC10" s="186">
        <f ca="1">uxb_ranking!FV13</f>
        <v>-1</v>
      </c>
      <c r="AD10" s="13" t="str">
        <f ca="1">uxb_ranking!FO13</f>
        <v>-2</v>
      </c>
      <c r="AE10" s="190">
        <f ca="1">IF($A10=0,"",uxb_ranking!$A13)</f>
        <v>6</v>
      </c>
      <c r="AF10" s="14" t="str">
        <f ca="1">uxb_ranking!EF13</f>
        <v>Venezuela</v>
      </c>
      <c r="AG10" s="20">
        <f ca="1">uxb_ranking!EM13</f>
        <v>16.7</v>
      </c>
      <c r="AH10" s="190" t="str">
        <f ca="1">uxb_ranking!FA13</f>
        <v>-</v>
      </c>
      <c r="AI10" s="186">
        <f ca="1">uxb_ranking!FH13</f>
        <v>0</v>
      </c>
    </row>
    <row r="11" spans="1:99" ht="18" customHeight="1">
      <c r="A11" s="106">
        <v>1</v>
      </c>
      <c r="B11" s="106"/>
      <c r="C11" s="186">
        <f ca="1">uxb_ranking!FS14</f>
        <v>-1</v>
      </c>
      <c r="D11" s="13" t="str">
        <f ca="1">uxb_ranking!FL14</f>
        <v>-2</v>
      </c>
      <c r="E11" s="190">
        <f ca="1">IF(A11=0,"",uxb_ranking!A14)</f>
        <v>7</v>
      </c>
      <c r="F11" s="14" t="str">
        <f ca="1">uxb_ranking!EC14</f>
        <v>Mexico</v>
      </c>
      <c r="G11" s="15">
        <f ca="1">uxb_ranking!EJ14</f>
        <v>47.5</v>
      </c>
      <c r="H11" s="190" t="str">
        <f ca="1">uxb_ranking!EX14</f>
        <v>-0.8</v>
      </c>
      <c r="I11">
        <f ca="1">uxb_ranking!FE14</f>
        <v>-1</v>
      </c>
      <c r="K11">
        <f ca="1">uxb_ranking!FT14</f>
        <v>0</v>
      </c>
      <c r="L11" s="13" t="str">
        <f ca="1">uxb_ranking!FM14</f>
        <v>-</v>
      </c>
      <c r="M11" s="190">
        <f ca="1">IF($A11=0,"",uxb_ranking!$A14)</f>
        <v>7</v>
      </c>
      <c r="N11" s="14" t="str">
        <f ca="1">uxb_ranking!ED14</f>
        <v>Nicaragua</v>
      </c>
      <c r="O11" s="20">
        <f ca="1">uxb_ranking!EK14</f>
        <v>56.3</v>
      </c>
      <c r="P11" s="190" t="str">
        <f ca="1">uxb_ranking!EY14</f>
        <v>-</v>
      </c>
      <c r="Q11">
        <f ca="1">uxb_ranking!FF14</f>
        <v>0</v>
      </c>
      <c r="U11">
        <f ca="1">uxb_ranking!FU14</f>
        <v>-1</v>
      </c>
      <c r="V11" s="13" t="str">
        <f ca="1">uxb_ranking!FN14</f>
        <v>-2</v>
      </c>
      <c r="W11" s="190">
        <f ca="1">IF($A11=0,"",uxb_ranking!$A14)</f>
        <v>7</v>
      </c>
      <c r="X11" s="14" t="str">
        <f ca="1">uxb_ranking!EE14</f>
        <v>Guatemala</v>
      </c>
      <c r="Y11" s="20">
        <f ca="1">uxb_ranking!EL14</f>
        <v>40.799999999999997</v>
      </c>
      <c r="Z11" s="190" t="str">
        <f ca="1">uxb_ranking!EZ14</f>
        <v>-</v>
      </c>
      <c r="AA11" s="186">
        <f ca="1">uxb_ranking!FG14</f>
        <v>0</v>
      </c>
      <c r="AC11" s="186">
        <f ca="1">uxb_ranking!FV14</f>
        <v>-1</v>
      </c>
      <c r="AD11" s="13" t="str">
        <f ca="1">uxb_ranking!FO14</f>
        <v>-1</v>
      </c>
      <c r="AE11" s="190">
        <f ca="1">IF($A11=0,"",uxb_ranking!$A14)</f>
        <v>7</v>
      </c>
      <c r="AF11" s="14" t="str">
        <f ca="1">uxb_ranking!EF14</f>
        <v>Chile</v>
      </c>
      <c r="AG11" s="20">
        <f ca="1">uxb_ranking!EM14</f>
        <v>33.299999999999997</v>
      </c>
      <c r="AH11" s="190" t="str">
        <f ca="1">uxb_ranking!FA14</f>
        <v>-</v>
      </c>
      <c r="AI11" s="186">
        <f ca="1">uxb_ranking!FH14</f>
        <v>0</v>
      </c>
    </row>
    <row r="12" spans="1:99" ht="18" customHeight="1">
      <c r="A12" s="106">
        <v>1</v>
      </c>
      <c r="B12" s="106"/>
      <c r="C12" s="186">
        <f ca="1">uxb_ranking!FS15</f>
        <v>-1</v>
      </c>
      <c r="D12" s="13" t="str">
        <f ca="1">uxb_ranking!FL15</f>
        <v>-2</v>
      </c>
      <c r="E12" s="190">
        <f ca="1">IF(A12=0,"",uxb_ranking!A15)</f>
        <v>8</v>
      </c>
      <c r="F12" s="14" t="str">
        <f ca="1">uxb_ranking!EC15</f>
        <v>Brazil</v>
      </c>
      <c r="G12" s="15">
        <f ca="1">uxb_ranking!EJ15</f>
        <v>41.6</v>
      </c>
      <c r="H12" s="190" t="str">
        <f ca="1">uxb_ranking!EX15</f>
        <v>-1.7</v>
      </c>
      <c r="I12">
        <f ca="1">uxb_ranking!FE15</f>
        <v>-1</v>
      </c>
      <c r="K12">
        <f ca="1">uxb_ranking!FT15</f>
        <v>0</v>
      </c>
      <c r="L12" s="13" t="str">
        <f ca="1">uxb_ranking!FM15</f>
        <v>-</v>
      </c>
      <c r="M12" s="190">
        <f ca="1">IF($A12=0,"",uxb_ranking!$A15)</f>
        <v>8</v>
      </c>
      <c r="N12" s="14" t="str">
        <f ca="1">uxb_ranking!ED15</f>
        <v>Guatemala</v>
      </c>
      <c r="O12" s="20">
        <f ca="1">uxb_ranking!EK15</f>
        <v>56.3</v>
      </c>
      <c r="P12" s="190" t="str">
        <f ca="1">uxb_ranking!EY15</f>
        <v>-</v>
      </c>
      <c r="Q12">
        <f ca="1">uxb_ranking!FF15</f>
        <v>0</v>
      </c>
      <c r="U12">
        <f ca="1">uxb_ranking!FU15</f>
        <v>-1</v>
      </c>
      <c r="V12" s="13" t="str">
        <f ca="1">uxb_ranking!FN15</f>
        <v>-3</v>
      </c>
      <c r="W12" s="190">
        <f ca="1">IF($A12=0,"",uxb_ranking!$A15)</f>
        <v>8</v>
      </c>
      <c r="X12" s="14" t="str">
        <f ca="1">uxb_ranking!EE15</f>
        <v>El Salvador</v>
      </c>
      <c r="Y12" s="20">
        <f ca="1">uxb_ranking!EL15</f>
        <v>49.2</v>
      </c>
      <c r="Z12" s="190" t="str">
        <f ca="1">uxb_ranking!EZ15</f>
        <v>-</v>
      </c>
      <c r="AA12" s="186">
        <f ca="1">uxb_ranking!FG15</f>
        <v>0</v>
      </c>
      <c r="AC12" s="186">
        <f ca="1">uxb_ranking!FV15</f>
        <v>-1</v>
      </c>
      <c r="AD12" s="13" t="str">
        <f ca="1">uxb_ranking!FO15</f>
        <v>-1</v>
      </c>
      <c r="AE12" s="190">
        <f ca="1">IF($A12=0,"",uxb_ranking!$A15)</f>
        <v>8</v>
      </c>
      <c r="AF12" s="14" t="str">
        <f ca="1">uxb_ranking!EF15</f>
        <v>Brazil</v>
      </c>
      <c r="AG12" s="20">
        <f ca="1">uxb_ranking!EM15</f>
        <v>33.299999999999997</v>
      </c>
      <c r="AH12" s="190" t="str">
        <f ca="1">uxb_ranking!FA15</f>
        <v>-</v>
      </c>
      <c r="AI12" s="186">
        <f ca="1">uxb_ranking!FH15</f>
        <v>0</v>
      </c>
    </row>
    <row r="13" spans="1:99" ht="18" customHeight="1">
      <c r="A13" s="106">
        <v>1</v>
      </c>
      <c r="B13" s="106"/>
      <c r="C13" s="186">
        <f ca="1">uxb_ranking!FS16</f>
        <v>-1</v>
      </c>
      <c r="D13" s="13" t="str">
        <f ca="1">uxb_ranking!FL16</f>
        <v>-5</v>
      </c>
      <c r="E13" s="190">
        <f ca="1">IF(A13=0,"",uxb_ranking!A16)</f>
        <v>9</v>
      </c>
      <c r="F13" s="14" t="str">
        <f ca="1">uxb_ranking!EC16</f>
        <v>Venezuela</v>
      </c>
      <c r="G13" s="15">
        <f ca="1">uxb_ranking!EJ16</f>
        <v>24.9</v>
      </c>
      <c r="H13" s="190" t="str">
        <f ca="1">uxb_ranking!EX16</f>
        <v>-2.5</v>
      </c>
      <c r="I13">
        <f ca="1">uxb_ranking!FE16</f>
        <v>-1</v>
      </c>
      <c r="K13">
        <f ca="1">uxb_ranking!FT16</f>
        <v>0</v>
      </c>
      <c r="L13" s="13" t="str">
        <f ca="1">uxb_ranking!FM16</f>
        <v>-</v>
      </c>
      <c r="M13" s="190">
        <f ca="1">IF($A13=0,"",uxb_ranking!$A16)</f>
        <v>9</v>
      </c>
      <c r="N13" s="14" t="str">
        <f ca="1">uxb_ranking!ED16</f>
        <v>Paraguay</v>
      </c>
      <c r="O13" s="20">
        <f ca="1">uxb_ranking!EK16</f>
        <v>62.5</v>
      </c>
      <c r="P13" s="190" t="str">
        <f ca="1">uxb_ranking!EY16</f>
        <v>-</v>
      </c>
      <c r="Q13">
        <f ca="1">uxb_ranking!FF16</f>
        <v>0</v>
      </c>
      <c r="U13">
        <f ca="1">uxb_ranking!FU16</f>
        <v>0</v>
      </c>
      <c r="V13" s="13" t="str">
        <f ca="1">uxb_ranking!FN16</f>
        <v>-</v>
      </c>
      <c r="W13" s="190">
        <f ca="1">IF($A13=0,"",uxb_ranking!$A16)</f>
        <v>9</v>
      </c>
      <c r="X13" s="14" t="str">
        <f ca="1">uxb_ranking!EE16</f>
        <v>Mexico</v>
      </c>
      <c r="Y13" s="20">
        <f ca="1">uxb_ranking!EL16</f>
        <v>58.3</v>
      </c>
      <c r="Z13" s="190" t="str">
        <f ca="1">uxb_ranking!EZ16</f>
        <v>-</v>
      </c>
      <c r="AA13" s="186">
        <f ca="1">uxb_ranking!FG16</f>
        <v>0</v>
      </c>
      <c r="AC13" s="186">
        <f ca="1">uxb_ranking!FV16</f>
        <v>1</v>
      </c>
      <c r="AD13" s="13" t="str">
        <f ca="1">uxb_ranking!FO16</f>
        <v>+1</v>
      </c>
      <c r="AE13" s="190">
        <f ca="1">IF($A13=0,"",uxb_ranking!$A16)</f>
        <v>9</v>
      </c>
      <c r="AF13" s="14" t="str">
        <f ca="1">uxb_ranking!EF16</f>
        <v>El Salvador</v>
      </c>
      <c r="AG13" s="20">
        <f ca="1">uxb_ranking!EM16</f>
        <v>66.7</v>
      </c>
      <c r="AH13" s="190" t="str">
        <f ca="1">uxb_ranking!FA16</f>
        <v>-</v>
      </c>
      <c r="AI13" s="186">
        <f ca="1">uxb_ranking!FH16</f>
        <v>0</v>
      </c>
    </row>
    <row r="14" spans="1:99" ht="18" customHeight="1">
      <c r="A14" s="106">
        <v>1</v>
      </c>
      <c r="B14" s="106"/>
      <c r="C14" s="186">
        <f ca="1">uxb_ranking!FS17</f>
        <v>0</v>
      </c>
      <c r="D14" s="13" t="str">
        <f ca="1">uxb_ranking!FL17</f>
        <v>-</v>
      </c>
      <c r="E14" s="190">
        <f ca="1">IF(A14=0,"",uxb_ranking!A17)</f>
        <v>10</v>
      </c>
      <c r="F14" s="14" t="str">
        <f ca="1">uxb_ranking!EC17</f>
        <v>El Salvador</v>
      </c>
      <c r="G14" s="15">
        <f ca="1">uxb_ranking!EJ17</f>
        <v>59</v>
      </c>
      <c r="H14" s="190" t="str">
        <f ca="1">uxb_ranking!EX17</f>
        <v>-2.5</v>
      </c>
      <c r="I14">
        <f ca="1">uxb_ranking!FE17</f>
        <v>-1</v>
      </c>
      <c r="K14">
        <f ca="1">uxb_ranking!FT17</f>
        <v>0</v>
      </c>
      <c r="L14" s="13" t="str">
        <f ca="1">uxb_ranking!FM17</f>
        <v>-</v>
      </c>
      <c r="M14" s="190">
        <f ca="1">IF($A14=0,"",uxb_ranking!$A17)</f>
        <v>10</v>
      </c>
      <c r="N14" s="14" t="str">
        <f ca="1">uxb_ranking!ED17</f>
        <v>Ecuador</v>
      </c>
      <c r="O14" s="20">
        <f ca="1">uxb_ranking!EK17</f>
        <v>75</v>
      </c>
      <c r="P14" s="190" t="str">
        <f ca="1">uxb_ranking!EY17</f>
        <v>-</v>
      </c>
      <c r="Q14">
        <f ca="1">uxb_ranking!FF17</f>
        <v>0</v>
      </c>
      <c r="U14">
        <f ca="1">uxb_ranking!FU17</f>
        <v>-1</v>
      </c>
      <c r="V14" s="13" t="str">
        <f ca="1">uxb_ranking!FN17</f>
        <v>-3</v>
      </c>
      <c r="W14" s="190">
        <f ca="1">IF($A14=0,"",uxb_ranking!$A17)</f>
        <v>10</v>
      </c>
      <c r="X14" s="14" t="str">
        <f ca="1">uxb_ranking!EE17</f>
        <v>Bolivia</v>
      </c>
      <c r="Y14" s="20">
        <f ca="1">uxb_ranking!EL17</f>
        <v>46.9</v>
      </c>
      <c r="Z14" s="190" t="str">
        <f ca="1">uxb_ranking!EZ17</f>
        <v>-0.2</v>
      </c>
      <c r="AA14" s="186">
        <f ca="1">uxb_ranking!FG17</f>
        <v>-1</v>
      </c>
      <c r="AC14" s="186">
        <f ca="1">uxb_ranking!FV17</f>
        <v>-1</v>
      </c>
      <c r="AD14" s="13" t="str">
        <f ca="1">uxb_ranking!FO17</f>
        <v>-1</v>
      </c>
      <c r="AE14" s="190">
        <f ca="1">IF($A14=0,"",uxb_ranking!$A17)</f>
        <v>10</v>
      </c>
      <c r="AF14" s="14" t="str">
        <f ca="1">uxb_ranking!EF17</f>
        <v>Peru</v>
      </c>
      <c r="AG14" s="20">
        <f ca="1">uxb_ranking!EM17</f>
        <v>75</v>
      </c>
      <c r="AH14" s="190" t="str">
        <f ca="1">uxb_ranking!FA17</f>
        <v>-</v>
      </c>
      <c r="AI14" s="186">
        <f ca="1">uxb_ranking!FH17</f>
        <v>0</v>
      </c>
    </row>
    <row r="15" spans="1:99" ht="18" customHeight="1">
      <c r="A15" s="106">
        <v>1</v>
      </c>
      <c r="B15" s="106"/>
      <c r="C15" s="186">
        <f ca="1">uxb_ranking!FS18</f>
        <v>-1</v>
      </c>
      <c r="D15" s="13" t="str">
        <f ca="1">uxb_ranking!FL18</f>
        <v>-1</v>
      </c>
      <c r="E15" s="190">
        <f ca="1">IF(A15=0,"",uxb_ranking!A18)</f>
        <v>11</v>
      </c>
      <c r="F15" s="14" t="str">
        <f ca="1">uxb_ranking!EC18</f>
        <v>Paraguay</v>
      </c>
      <c r="G15" s="15">
        <f ca="1">uxb_ranking!EJ18</f>
        <v>49.6</v>
      </c>
      <c r="H15" s="190" t="str">
        <f ca="1">uxb_ranking!EX18</f>
        <v>-3.3</v>
      </c>
      <c r="I15">
        <f ca="1">uxb_ranking!FE18</f>
        <v>-1</v>
      </c>
      <c r="K15">
        <f ca="1">uxb_ranking!FT18</f>
        <v>-1</v>
      </c>
      <c r="L15" s="13" t="str">
        <f ca="1">uxb_ranking!FM18</f>
        <v>-4</v>
      </c>
      <c r="M15" s="190">
        <f ca="1">IF($A15=0,"",uxb_ranking!$A18)</f>
        <v>11</v>
      </c>
      <c r="N15" s="14" t="str">
        <f ca="1">uxb_ranking!ED18</f>
        <v>Uruguay</v>
      </c>
      <c r="O15" s="20">
        <f ca="1">uxb_ranking!EK18</f>
        <v>31.3</v>
      </c>
      <c r="P15" s="190" t="str">
        <f ca="1">uxb_ranking!EY18</f>
        <v>-6.2</v>
      </c>
      <c r="Q15">
        <f ca="1">uxb_ranking!FF18</f>
        <v>-1</v>
      </c>
      <c r="U15">
        <f ca="1">uxb_ranking!FU18</f>
        <v>0</v>
      </c>
      <c r="V15" s="13" t="str">
        <f ca="1">uxb_ranking!FN18</f>
        <v>-</v>
      </c>
      <c r="W15" s="190">
        <f ca="1">IF($A15=0,"",uxb_ranking!$A18)</f>
        <v>11</v>
      </c>
      <c r="X15" s="14" t="str">
        <f ca="1">uxb_ranking!EE18</f>
        <v>Chile</v>
      </c>
      <c r="Y15" s="20">
        <f ca="1">uxb_ranking!EL18</f>
        <v>74.2</v>
      </c>
      <c r="Z15" s="190" t="str">
        <f ca="1">uxb_ranking!EZ18</f>
        <v>-0.8</v>
      </c>
      <c r="AA15" s="186">
        <f ca="1">uxb_ranking!FG18</f>
        <v>-1</v>
      </c>
      <c r="AC15" s="186">
        <f ca="1">uxb_ranking!FV18</f>
        <v>-1</v>
      </c>
      <c r="AD15" s="13" t="str">
        <f ca="1">uxb_ranking!FO18</f>
        <v>-1</v>
      </c>
      <c r="AE15" s="190">
        <f ca="1">IF($A15=0,"",uxb_ranking!$A18)</f>
        <v>11</v>
      </c>
      <c r="AF15" s="14" t="str">
        <f ca="1">uxb_ranking!EF18</f>
        <v>Bolivia</v>
      </c>
      <c r="AG15" s="20">
        <f ca="1">uxb_ranking!EM18</f>
        <v>75</v>
      </c>
      <c r="AH15" s="190" t="str">
        <f ca="1">uxb_ranking!FA18</f>
        <v>-</v>
      </c>
      <c r="AI15" s="186">
        <f ca="1">uxb_ranking!FH18</f>
        <v>0</v>
      </c>
    </row>
    <row r="16" spans="1:99" ht="18" customHeight="1">
      <c r="A16" s="106">
        <v>1</v>
      </c>
      <c r="B16" s="106"/>
      <c r="C16" s="186">
        <f ca="1">uxb_ranking!FS19</f>
        <v>-1</v>
      </c>
      <c r="D16" s="13" t="str">
        <f ca="1">uxb_ranking!FL19</f>
        <v>-1</v>
      </c>
      <c r="E16" s="190">
        <f ca="1">IF(A16=0,"",uxb_ranking!A19)</f>
        <v>12</v>
      </c>
      <c r="F16" s="14" t="str">
        <f ca="1">uxb_ranking!EC19</f>
        <v>Bolivia</v>
      </c>
      <c r="G16" s="15">
        <f ca="1">uxb_ranking!EJ19</f>
        <v>74.400000000000006</v>
      </c>
      <c r="H16" s="190" t="str">
        <f ca="1">uxb_ranking!EX19</f>
        <v>-5.0</v>
      </c>
      <c r="I16">
        <f ca="1">uxb_ranking!FE19</f>
        <v>-1</v>
      </c>
      <c r="K16">
        <f ca="1">uxb_ranking!FT19</f>
        <v>-1</v>
      </c>
      <c r="L16" s="13" t="str">
        <f ca="1">uxb_ranking!FM19</f>
        <v>-2</v>
      </c>
      <c r="M16" s="190">
        <f ca="1">IF($A16=0,"",uxb_ranking!$A19)</f>
        <v>12</v>
      </c>
      <c r="N16" s="14" t="str">
        <f ca="1">uxb_ranking!ED19</f>
        <v>El Salvador</v>
      </c>
      <c r="O16" s="20">
        <f ca="1">uxb_ranking!EK19</f>
        <v>56.3</v>
      </c>
      <c r="P16" s="190" t="str">
        <f ca="1">uxb_ranking!EY19</f>
        <v>-6.2</v>
      </c>
      <c r="Q16">
        <f ca="1">uxb_ranking!FF19</f>
        <v>-1</v>
      </c>
      <c r="U16">
        <f ca="1">uxb_ranking!FU19</f>
        <v>-1</v>
      </c>
      <c r="V16" s="13" t="str">
        <f ca="1">uxb_ranking!FN19</f>
        <v>-8</v>
      </c>
      <c r="W16" s="190">
        <f ca="1">IF($A16=0,"",uxb_ranking!$A19)</f>
        <v>12</v>
      </c>
      <c r="X16" s="14" t="str">
        <f ca="1">uxb_ranking!EE19</f>
        <v>Argentina</v>
      </c>
      <c r="Y16" s="20">
        <f ca="1">uxb_ranking!EL19</f>
        <v>38.299999999999997</v>
      </c>
      <c r="Z16" s="190" t="str">
        <f ca="1">uxb_ranking!EZ19</f>
        <v>-8.4</v>
      </c>
      <c r="AA16" s="186">
        <f ca="1">uxb_ranking!FG19</f>
        <v>-1</v>
      </c>
      <c r="AC16" s="186">
        <f ca="1">uxb_ranking!FV19</f>
        <v>-1</v>
      </c>
      <c r="AD16" s="13" t="str">
        <f ca="1">uxb_ranking!FO19</f>
        <v>-4</v>
      </c>
      <c r="AE16" s="190">
        <f ca="1">IF($A16=0,"",uxb_ranking!$A19)</f>
        <v>12</v>
      </c>
      <c r="AF16" s="14" t="str">
        <f ca="1">uxb_ranking!EF19</f>
        <v>Uruguay</v>
      </c>
      <c r="AG16" s="20">
        <f ca="1">uxb_ranking!EM19</f>
        <v>16.7</v>
      </c>
      <c r="AH16" s="190" t="str">
        <f ca="1">uxb_ranking!FA19</f>
        <v>-8.3</v>
      </c>
      <c r="AI16" s="186">
        <f ca="1">uxb_ranking!FH19</f>
        <v>-1</v>
      </c>
    </row>
    <row r="17" spans="1:35" ht="18" customHeight="1">
      <c r="A17" s="106">
        <v>1</v>
      </c>
      <c r="B17" s="106"/>
      <c r="C17" s="186">
        <f ca="1">uxb_ranking!FS20</f>
        <v>-1</v>
      </c>
      <c r="D17" s="13" t="str">
        <f ca="1">uxb_ranking!FL20</f>
        <v>-5</v>
      </c>
      <c r="E17" s="190">
        <f ca="1">IF(A17=0,"",uxb_ranking!A20)</f>
        <v>13</v>
      </c>
      <c r="F17" s="14" t="str">
        <f ca="1">uxb_ranking!EC20</f>
        <v>Chile</v>
      </c>
      <c r="G17" s="15">
        <f ca="1">uxb_ranking!EJ20</f>
        <v>43.2</v>
      </c>
      <c r="H17" s="190" t="str">
        <f ca="1">uxb_ranking!EX20</f>
        <v>-5.1</v>
      </c>
      <c r="I17">
        <f ca="1">uxb_ranking!FE20</f>
        <v>-1</v>
      </c>
      <c r="K17">
        <f ca="1">uxb_ranking!FT20</f>
        <v>-1</v>
      </c>
      <c r="L17" s="13" t="str">
        <f ca="1">uxb_ranking!FM20</f>
        <v>-4</v>
      </c>
      <c r="M17" s="190">
        <f ca="1">IF($A17=0,"",uxb_ranking!$A20)</f>
        <v>13</v>
      </c>
      <c r="N17" s="14" t="str">
        <f ca="1">uxb_ranking!ED20</f>
        <v>Venezuela</v>
      </c>
      <c r="O17" s="20">
        <f ca="1">uxb_ranking!EK20</f>
        <v>25</v>
      </c>
      <c r="P17" s="190" t="str">
        <f ca="1">uxb_ranking!EY20</f>
        <v>-6.3</v>
      </c>
      <c r="Q17">
        <f ca="1">uxb_ranking!FF20</f>
        <v>-1</v>
      </c>
      <c r="U17">
        <f ca="1">uxb_ranking!FU20</f>
        <v>-1</v>
      </c>
      <c r="V17" s="13" t="str">
        <f ca="1">uxb_ranking!FN20</f>
        <v>-6</v>
      </c>
      <c r="W17" s="190">
        <f ca="1">IF($A17=0,"",uxb_ranking!$A20)</f>
        <v>13</v>
      </c>
      <c r="X17" s="14" t="str">
        <f ca="1">uxb_ranking!EE20</f>
        <v>Uruguay</v>
      </c>
      <c r="Y17" s="20">
        <f ca="1">uxb_ranking!EL20</f>
        <v>45.8</v>
      </c>
      <c r="Z17" s="190" t="str">
        <f ca="1">uxb_ranking!EZ20</f>
        <v>-8.4</v>
      </c>
      <c r="AA17" s="186">
        <f ca="1">uxb_ranking!FG20</f>
        <v>-1</v>
      </c>
      <c r="AC17" s="186">
        <f ca="1">uxb_ranking!FV20</f>
        <v>-1</v>
      </c>
      <c r="AD17" s="13" t="str">
        <f ca="1">uxb_ranking!FO20</f>
        <v>-3</v>
      </c>
      <c r="AE17" s="190">
        <f ca="1">IF($A17=0,"",uxb_ranking!$A20)</f>
        <v>13</v>
      </c>
      <c r="AF17" s="14" t="str">
        <f ca="1">uxb_ranking!EF20</f>
        <v>Paraguay</v>
      </c>
      <c r="AG17" s="20">
        <f ca="1">uxb_ranking!EM20</f>
        <v>41.7</v>
      </c>
      <c r="AH17" s="190" t="str">
        <f ca="1">uxb_ranking!FA20</f>
        <v>-8.3</v>
      </c>
      <c r="AI17" s="186">
        <f ca="1">uxb_ranking!FH20</f>
        <v>-1</v>
      </c>
    </row>
    <row r="18" spans="1:35" ht="18" customHeight="1">
      <c r="A18" s="106">
        <v>1</v>
      </c>
      <c r="B18" s="106"/>
      <c r="C18" s="186">
        <f ca="1">uxb_ranking!FS21</f>
        <v>-1</v>
      </c>
      <c r="D18" s="13" t="str">
        <f ca="1">uxb_ranking!FL21</f>
        <v>-5</v>
      </c>
      <c r="E18" s="190">
        <f ca="1">IF(A18=0,"",uxb_ranking!A21)</f>
        <v>14</v>
      </c>
      <c r="F18" s="14" t="str">
        <f ca="1">uxb_ranking!EC21</f>
        <v>Uruguay</v>
      </c>
      <c r="G18" s="15">
        <f ca="1">uxb_ranking!EJ21</f>
        <v>28.3</v>
      </c>
      <c r="H18" s="190" t="str">
        <f ca="1">uxb_ranking!EX21</f>
        <v>-7.5</v>
      </c>
      <c r="I18">
        <f ca="1">uxb_ranking!FE21</f>
        <v>-1</v>
      </c>
      <c r="K18">
        <f ca="1">uxb_ranking!FT21</f>
        <v>-1</v>
      </c>
      <c r="L18" s="13" t="str">
        <f ca="1">uxb_ranking!FM21</f>
        <v>-7</v>
      </c>
      <c r="M18" s="190">
        <f ca="1">IF($A18=0,"",uxb_ranking!$A21)</f>
        <v>14</v>
      </c>
      <c r="N18" s="14" t="str">
        <f ca="1">uxb_ranking!ED21</f>
        <v>Chile</v>
      </c>
      <c r="O18" s="20">
        <f ca="1">uxb_ranking!EK21</f>
        <v>37.5</v>
      </c>
      <c r="P18" s="190" t="str">
        <f ca="1">uxb_ranking!EY21</f>
        <v>-12.5</v>
      </c>
      <c r="Q18">
        <f ca="1">uxb_ranking!FF21</f>
        <v>-1</v>
      </c>
      <c r="U18">
        <f ca="1">uxb_ranking!FU21</f>
        <v>-1</v>
      </c>
      <c r="V18" s="13" t="str">
        <f ca="1">uxb_ranking!FN21</f>
        <v>-5</v>
      </c>
      <c r="W18" s="190">
        <f ca="1">IF($A18=0,"",uxb_ranking!$A21)</f>
        <v>14</v>
      </c>
      <c r="X18" s="14" t="str">
        <f ca="1">uxb_ranking!EE21</f>
        <v>Brazil</v>
      </c>
      <c r="Y18" s="20">
        <f ca="1">uxb_ranking!EL21</f>
        <v>53.6</v>
      </c>
      <c r="Z18" s="190" t="str">
        <f ca="1">uxb_ranking!EZ21</f>
        <v>-8.5</v>
      </c>
      <c r="AA18" s="186">
        <f ca="1">uxb_ranking!FG21</f>
        <v>-1</v>
      </c>
      <c r="AC18" s="186">
        <f ca="1">uxb_ranking!FV21</f>
        <v>-1</v>
      </c>
      <c r="AD18" s="13" t="str">
        <f ca="1">uxb_ranking!FO21</f>
        <v>-3</v>
      </c>
      <c r="AE18" s="190">
        <f ca="1">IF($A18=0,"",uxb_ranking!$A21)</f>
        <v>14</v>
      </c>
      <c r="AF18" s="14" t="str">
        <f ca="1">uxb_ranking!EF21</f>
        <v>Mexico</v>
      </c>
      <c r="AG18" s="20">
        <f ca="1">uxb_ranking!EM21</f>
        <v>33.299999999999997</v>
      </c>
      <c r="AH18" s="190" t="str">
        <f ca="1">uxb_ranking!FA21</f>
        <v>-8.4</v>
      </c>
      <c r="AI18" s="186">
        <f ca="1">uxb_ranking!FH21</f>
        <v>-1</v>
      </c>
    </row>
    <row r="19" spans="1:35" ht="18" customHeight="1">
      <c r="A19" s="106">
        <v>1</v>
      </c>
      <c r="B19" s="106"/>
      <c r="C19" s="186">
        <f ca="1">uxb_ranking!FS22</f>
        <v>-1</v>
      </c>
      <c r="D19" s="13" t="str">
        <f ca="1">uxb_ranking!FL22</f>
        <v>-4</v>
      </c>
      <c r="E19" s="190">
        <f ca="1">IF(A19=0,"",uxb_ranking!A22)</f>
        <v>15</v>
      </c>
      <c r="F19" s="14" t="str">
        <f ca="1">uxb_ranking!EC22</f>
        <v>Dominican Rep</v>
      </c>
      <c r="G19" s="15">
        <f ca="1">uxb_ranking!EJ22</f>
        <v>48</v>
      </c>
      <c r="H19" s="190" t="str">
        <f ca="1">uxb_ranking!EX22</f>
        <v>-9.5</v>
      </c>
      <c r="I19">
        <f ca="1">uxb_ranking!FE22</f>
        <v>-1</v>
      </c>
      <c r="K19">
        <f ca="1">uxb_ranking!FT22</f>
        <v>0</v>
      </c>
      <c r="L19" s="13" t="str">
        <f ca="1">uxb_ranking!FM22</f>
        <v>-</v>
      </c>
      <c r="M19" s="190">
        <f ca="1">IF($A19=0,"",uxb_ranking!$A22)</f>
        <v>15</v>
      </c>
      <c r="N19" s="14" t="str">
        <f ca="1">uxb_ranking!ED22</f>
        <v>Bolivia</v>
      </c>
      <c r="O19" s="20">
        <f ca="1">uxb_ranking!EK22</f>
        <v>87.5</v>
      </c>
      <c r="P19" s="190" t="str">
        <f ca="1">uxb_ranking!EY22</f>
        <v>-12.5</v>
      </c>
      <c r="Q19">
        <f ca="1">uxb_ranking!FF22</f>
        <v>-1</v>
      </c>
      <c r="U19">
        <f ca="1">uxb_ranking!FU22</f>
        <v>-1</v>
      </c>
      <c r="V19" s="13" t="str">
        <f ca="1">uxb_ranking!FN22</f>
        <v>-9</v>
      </c>
      <c r="W19" s="190">
        <f ca="1">IF($A19=0,"",uxb_ranking!$A22)</f>
        <v>15</v>
      </c>
      <c r="X19" s="14" t="str">
        <f ca="1">uxb_ranking!EE22</f>
        <v>Ecuador</v>
      </c>
      <c r="Y19" s="20">
        <f ca="1">uxb_ranking!EL22</f>
        <v>31.7</v>
      </c>
      <c r="Z19" s="190" t="str">
        <f ca="1">uxb_ranking!EZ22</f>
        <v>-9.6</v>
      </c>
      <c r="AA19" s="186">
        <f ca="1">uxb_ranking!FG22</f>
        <v>-1</v>
      </c>
      <c r="AC19" s="186">
        <f ca="1">uxb_ranking!FV22</f>
        <v>-1</v>
      </c>
      <c r="AD19" s="13" t="str">
        <f ca="1">uxb_ranking!FO22</f>
        <v>-7</v>
      </c>
      <c r="AE19" s="190">
        <f ca="1">IF($A19=0,"",uxb_ranking!$A22)</f>
        <v>15</v>
      </c>
      <c r="AF19" s="14" t="str">
        <f ca="1">uxb_ranking!EF22</f>
        <v>Dominican Rep</v>
      </c>
      <c r="AG19" s="20">
        <f ca="1">uxb_ranking!EM22</f>
        <v>50</v>
      </c>
      <c r="AH19" s="190" t="str">
        <f ca="1">uxb_ranking!FA22</f>
        <v>-25.0</v>
      </c>
      <c r="AI19" s="186">
        <f ca="1">uxb_ranking!FH22</f>
        <v>-1</v>
      </c>
    </row>
    <row r="20" spans="1:35">
      <c r="A20" s="106">
        <v>0</v>
      </c>
    </row>
  </sheetData>
  <phoneticPr fontId="0" type="noConversion"/>
  <conditionalFormatting sqref="F5:F19 AF5:AF19 X5:X19 N5:N19">
    <cfRule type="expression" dxfId="35" priority="11" stopIfTrue="1">
      <formula>$A5=0</formula>
    </cfRule>
    <cfRule type="cellIs" dxfId="34" priority="12" stopIfTrue="1" operator="equal">
      <formula>$A$2</formula>
    </cfRule>
  </conditionalFormatting>
  <conditionalFormatting sqref="G5:G19 O5:O19 Y5:Y19 AG5:AG19">
    <cfRule type="expression" dxfId="33" priority="10">
      <formula>F5=$A$2</formula>
    </cfRule>
  </conditionalFormatting>
  <conditionalFormatting sqref="E5:E19 W5:W19 AE5:AE19 M5:M19">
    <cfRule type="expression" dxfId="32" priority="8" stopIfTrue="1">
      <formula>$A5=0</formula>
    </cfRule>
    <cfRule type="expression" dxfId="31" priority="9" stopIfTrue="1">
      <formula>$A$2=F5</formula>
    </cfRule>
  </conditionalFormatting>
  <conditionalFormatting sqref="D4:H4">
    <cfRule type="expression" dxfId="30" priority="7" stopIfTrue="1">
      <formula>$A$2=2</formula>
    </cfRule>
  </conditionalFormatting>
  <conditionalFormatting sqref="D5:D19 L5:L19 V5:V19 AD5:AD19">
    <cfRule type="expression" dxfId="29" priority="4" stopIfTrue="1">
      <formula>$A$2=F5</formula>
    </cfRule>
    <cfRule type="expression" dxfId="28" priority="5" stopIfTrue="1">
      <formula>C5=1</formula>
    </cfRule>
    <cfRule type="expression" dxfId="27" priority="6" stopIfTrue="1">
      <formula>C5=-1</formula>
    </cfRule>
  </conditionalFormatting>
  <conditionalFormatting sqref="H5:H19 P5:P19 Z5:Z19 AH5:AH19">
    <cfRule type="expression" dxfId="26" priority="1" stopIfTrue="1">
      <formula>$A$2=F5</formula>
    </cfRule>
    <cfRule type="expression" dxfId="25" priority="2" stopIfTrue="1">
      <formula>I5=1</formula>
    </cfRule>
    <cfRule type="expression" dxfId="24" priority="3" stopIfTrue="1">
      <formula>I5=-1</formula>
    </cfRule>
  </conditionalFormatting>
  <pageMargins left="0.74803149606299213" right="0.74803149606299213" top="0.59055118110236227" bottom="0.59055118110236227" header="0.51181102362204722" footer="0.51181102362204722"/>
  <pageSetup scale="85"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sheetPr codeName="Sheet2"/>
  <dimension ref="A1:F23"/>
  <sheetViews>
    <sheetView workbookViewId="0">
      <selection activeCell="B3" sqref="B3:B22"/>
    </sheetView>
  </sheetViews>
  <sheetFormatPr defaultRowHeight="12.75"/>
  <sheetData>
    <row r="1" spans="1:6">
      <c r="A1" s="1" t="s">
        <v>459</v>
      </c>
    </row>
    <row r="3" spans="1:6">
      <c r="A3" t="s">
        <v>441</v>
      </c>
      <c r="B3" t="s">
        <v>394</v>
      </c>
      <c r="D3">
        <v>1</v>
      </c>
    </row>
    <row r="4" spans="1:6">
      <c r="A4" t="s">
        <v>442</v>
      </c>
      <c r="B4" t="s">
        <v>395</v>
      </c>
      <c r="D4">
        <v>1</v>
      </c>
    </row>
    <row r="5" spans="1:6">
      <c r="A5" t="s">
        <v>443</v>
      </c>
      <c r="B5" t="s">
        <v>396</v>
      </c>
      <c r="D5">
        <v>1</v>
      </c>
    </row>
    <row r="6" spans="1:6">
      <c r="A6" t="s">
        <v>444</v>
      </c>
      <c r="B6" t="s">
        <v>397</v>
      </c>
      <c r="D6">
        <v>1</v>
      </c>
    </row>
    <row r="7" spans="1:6">
      <c r="A7" t="s">
        <v>445</v>
      </c>
      <c r="B7" t="s">
        <v>398</v>
      </c>
      <c r="D7">
        <v>1</v>
      </c>
    </row>
    <row r="8" spans="1:6">
      <c r="A8" s="157" t="s">
        <v>148</v>
      </c>
      <c r="B8" s="157" t="s">
        <v>143</v>
      </c>
      <c r="D8">
        <v>1</v>
      </c>
      <c r="F8" s="157" t="s">
        <v>142</v>
      </c>
    </row>
    <row r="9" spans="1:6">
      <c r="A9" t="s">
        <v>446</v>
      </c>
      <c r="B9" t="s">
        <v>399</v>
      </c>
      <c r="D9">
        <v>1</v>
      </c>
    </row>
    <row r="10" spans="1:6">
      <c r="A10" t="s">
        <v>447</v>
      </c>
      <c r="B10" t="s">
        <v>400</v>
      </c>
      <c r="D10">
        <v>1</v>
      </c>
    </row>
    <row r="11" spans="1:6">
      <c r="A11" t="s">
        <v>448</v>
      </c>
      <c r="B11" t="s">
        <v>401</v>
      </c>
      <c r="D11">
        <v>1</v>
      </c>
    </row>
    <row r="12" spans="1:6">
      <c r="A12" t="s">
        <v>449</v>
      </c>
      <c r="B12" t="s">
        <v>402</v>
      </c>
      <c r="D12">
        <v>1</v>
      </c>
    </row>
    <row r="13" spans="1:6">
      <c r="A13" s="157" t="s">
        <v>149</v>
      </c>
      <c r="B13" s="157" t="s">
        <v>144</v>
      </c>
      <c r="D13">
        <v>1</v>
      </c>
      <c r="F13" s="157" t="s">
        <v>142</v>
      </c>
    </row>
    <row r="14" spans="1:6">
      <c r="A14" s="157" t="s">
        <v>150</v>
      </c>
      <c r="B14" s="157" t="s">
        <v>145</v>
      </c>
      <c r="D14">
        <v>1</v>
      </c>
      <c r="F14" s="157" t="s">
        <v>142</v>
      </c>
    </row>
    <row r="15" spans="1:6">
      <c r="A15" s="157" t="s">
        <v>151</v>
      </c>
      <c r="B15" s="157" t="s">
        <v>146</v>
      </c>
      <c r="D15">
        <v>1</v>
      </c>
      <c r="F15" s="157" t="s">
        <v>142</v>
      </c>
    </row>
    <row r="16" spans="1:6">
      <c r="A16" t="s">
        <v>450</v>
      </c>
      <c r="B16" t="s">
        <v>403</v>
      </c>
      <c r="D16">
        <v>1</v>
      </c>
    </row>
    <row r="17" spans="1:6">
      <c r="A17" t="s">
        <v>451</v>
      </c>
      <c r="B17" t="s">
        <v>404</v>
      </c>
      <c r="D17">
        <v>1</v>
      </c>
    </row>
    <row r="18" spans="1:6">
      <c r="A18" s="157" t="s">
        <v>152</v>
      </c>
      <c r="B18" s="157" t="s">
        <v>147</v>
      </c>
      <c r="D18">
        <v>1</v>
      </c>
      <c r="F18" s="157" t="s">
        <v>142</v>
      </c>
    </row>
    <row r="19" spans="1:6">
      <c r="A19" t="s">
        <v>452</v>
      </c>
      <c r="B19" t="s">
        <v>405</v>
      </c>
      <c r="D19">
        <v>1</v>
      </c>
    </row>
    <row r="20" spans="1:6">
      <c r="A20" t="s">
        <v>453</v>
      </c>
      <c r="B20" t="s">
        <v>406</v>
      </c>
      <c r="D20">
        <v>1</v>
      </c>
    </row>
    <row r="21" spans="1:6">
      <c r="A21" t="s">
        <v>454</v>
      </c>
      <c r="B21" t="s">
        <v>407</v>
      </c>
      <c r="D21">
        <v>1</v>
      </c>
    </row>
    <row r="22" spans="1:6">
      <c r="A22" t="s">
        <v>455</v>
      </c>
      <c r="B22" t="s">
        <v>408</v>
      </c>
      <c r="D22">
        <v>1</v>
      </c>
    </row>
    <row r="23" spans="1:6">
      <c r="A23" t="s">
        <v>376</v>
      </c>
      <c r="B23" t="s">
        <v>375</v>
      </c>
      <c r="D23">
        <v>0</v>
      </c>
    </row>
  </sheetData>
  <phoneticPr fontId="2"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sheetPr codeName="Sheet5"/>
  <dimension ref="A3:D46"/>
  <sheetViews>
    <sheetView workbookViewId="0">
      <selection activeCell="B6" sqref="B6"/>
    </sheetView>
  </sheetViews>
  <sheetFormatPr defaultRowHeight="12.75"/>
  <sheetData>
    <row r="3" spans="1:4">
      <c r="A3" t="s">
        <v>464</v>
      </c>
      <c r="B3">
        <v>18</v>
      </c>
    </row>
    <row r="4" spans="1:4">
      <c r="A4" t="s">
        <v>465</v>
      </c>
      <c r="B4" t="str">
        <f ca="1">INDEX(uxb_countries!A3:A23,B3)</f>
        <v>PE</v>
      </c>
    </row>
    <row r="5" spans="1:4">
      <c r="A5" t="s">
        <v>466</v>
      </c>
      <c r="B5" t="str">
        <f ca="1">INDEX(uxb_countries!B3:B23,B3)</f>
        <v>Peru</v>
      </c>
    </row>
    <row r="7" spans="1:4">
      <c r="A7" t="s">
        <v>477</v>
      </c>
      <c r="B7">
        <v>4</v>
      </c>
    </row>
    <row r="8" spans="1:4">
      <c r="A8" t="s">
        <v>480</v>
      </c>
      <c r="B8" t="str">
        <f ca="1">INDEX(uxb_scores_2007!A10:A26,uxb_globals!B7)</f>
        <v>RF02</v>
      </c>
    </row>
    <row r="9" spans="1:4">
      <c r="A9" t="s">
        <v>481</v>
      </c>
      <c r="B9" t="str">
        <f ca="1">INDEX(uxb_scores_2007!C10:C26,B7)</f>
        <v>Formation and operation of regulated/supervised specialised MFIs</v>
      </c>
    </row>
    <row r="10" spans="1:4">
      <c r="A10" t="s">
        <v>482</v>
      </c>
      <c r="B10">
        <f ca="1">IF(RIGHT(B8,2)="00",100,4)</f>
        <v>4</v>
      </c>
      <c r="D10" t="str">
        <f>CONCATENATE("Scored 0-",B10," where ",B10,"=best")</f>
        <v>Scored 0-4 where 4=best</v>
      </c>
    </row>
    <row r="11" spans="1:4">
      <c r="A11" t="s">
        <v>495</v>
      </c>
      <c r="B11" t="str">
        <f ca="1">INDEX(uxb_scores_2007!E10:E26,uxb_globals!B7)</f>
        <v>“Are regulations conducive to the formation and operation of “specialised MFIs,” such as greenfield MFIs and upscaling NGOs transforming themselves into MFIs? For example, are specialised MFIs free to set market interest rates, can they avoid excessive documentation and capital-adequacy ratios, and are they free from unfair competition from subsidised public programmes and institutions?”</v>
      </c>
    </row>
    <row r="12" spans="1:4">
      <c r="A12" t="s">
        <v>496</v>
      </c>
      <c r="B12" t="str">
        <f ca="1">INDEX(uxb_scores_2007!F10:F26,uxb_globals!B7)</f>
        <v>0=No regulations exist;
1=Regulations exist but multiple obstacles make formation very difficult;
2=Regulations exist though there are significant obstacles;
3=Regulations exist with relatively few obstacles;
4=Regulations facilitate formation</v>
      </c>
    </row>
    <row r="15" spans="1:4">
      <c r="A15" t="s">
        <v>478</v>
      </c>
      <c r="B15" s="79" t="s">
        <v>479</v>
      </c>
    </row>
    <row r="16" spans="1:4">
      <c r="A16" t="s">
        <v>530</v>
      </c>
      <c r="B16">
        <v>1</v>
      </c>
    </row>
    <row r="18" spans="1:3">
      <c r="A18" t="s">
        <v>507</v>
      </c>
      <c r="B18" s="37">
        <f>B3</f>
        <v>18</v>
      </c>
    </row>
    <row r="19" spans="1:3">
      <c r="A19" t="s">
        <v>508</v>
      </c>
      <c r="B19">
        <v>6</v>
      </c>
    </row>
    <row r="20" spans="1:3">
      <c r="A20" t="s">
        <v>509</v>
      </c>
      <c r="B20">
        <v>8</v>
      </c>
    </row>
    <row r="21" spans="1:3">
      <c r="A21" t="s">
        <v>510</v>
      </c>
      <c r="B21">
        <v>10</v>
      </c>
    </row>
    <row r="24" spans="1:3">
      <c r="A24" t="s">
        <v>511</v>
      </c>
      <c r="B24" t="str">
        <f ca="1">INDEX(uxb_countries!B$3:B$23,uxb_globals!B18)</f>
        <v>Peru</v>
      </c>
      <c r="C24" t="str">
        <f>IF(B24="&lt;none&gt;","",B24)</f>
        <v>Peru</v>
      </c>
    </row>
    <row r="25" spans="1:3">
      <c r="A25" t="s">
        <v>512</v>
      </c>
      <c r="B25" t="str">
        <f ca="1">INDEX(uxb_countries!B$3:B$23,uxb_globals!B19)</f>
        <v>Costa Rica</v>
      </c>
      <c r="C25" t="str">
        <f>IF(B25="&lt;none&gt;","",B25)</f>
        <v>Costa Rica</v>
      </c>
    </row>
    <row r="26" spans="1:3">
      <c r="A26" t="s">
        <v>513</v>
      </c>
      <c r="B26" t="str">
        <f ca="1">INDEX(uxb_countries!B$3:B$23,uxb_globals!B20)</f>
        <v>Ecuador</v>
      </c>
      <c r="C26" t="str">
        <f>IF(B26="&lt;none&gt;","",B26)</f>
        <v>Ecuador</v>
      </c>
    </row>
    <row r="27" spans="1:3">
      <c r="A27" t="s">
        <v>514</v>
      </c>
      <c r="B27" t="str">
        <f ca="1">INDEX(uxb_countries!B$3:B$23,uxb_globals!B21)</f>
        <v>Guatemala</v>
      </c>
      <c r="C27" t="str">
        <f>IF(B27="&lt;none&gt;","",B27)</f>
        <v>Guatemala</v>
      </c>
    </row>
    <row r="30" spans="1:3">
      <c r="A30" t="s">
        <v>515</v>
      </c>
      <c r="B30" t="str">
        <f ca="1">INDEX(uxb_countries!A$3:A$23,uxb_globals!B18)</f>
        <v>PE</v>
      </c>
    </row>
    <row r="31" spans="1:3">
      <c r="A31" t="s">
        <v>516</v>
      </c>
      <c r="B31" t="str">
        <f ca="1">INDEX(uxb_countries!A$3:A$23,uxb_globals!B19)</f>
        <v>CR</v>
      </c>
    </row>
    <row r="32" spans="1:3">
      <c r="A32" t="s">
        <v>517</v>
      </c>
      <c r="B32" t="str">
        <f ca="1">INDEX(uxb_countries!A$3:A$23,uxb_globals!B20)</f>
        <v>EC</v>
      </c>
    </row>
    <row r="33" spans="1:2">
      <c r="A33" t="s">
        <v>518</v>
      </c>
      <c r="B33" t="str">
        <f ca="1">INDEX(uxb_countries!A$3:A$23,uxb_globals!B21)</f>
        <v>GT</v>
      </c>
    </row>
    <row r="35" spans="1:2">
      <c r="A35" t="s">
        <v>251</v>
      </c>
      <c r="B35" t="str">
        <f>IF(ISERROR(B5),"",CONCATENATE("Notes for ",B5))</f>
        <v>Notes for Peru</v>
      </c>
    </row>
    <row r="36" spans="1:2">
      <c r="A36" t="s">
        <v>250</v>
      </c>
      <c r="B36" t="str">
        <f ca="1">OFFSET(uxb_scores_2007!I42,uxb_globals!B7,uxb_globals!B3)</f>
        <v>EDPYMEs, also regulated by the SBS under the same umbrella legislation, are entities for the development of small and micro enterprises (entidades de desarollo de la pequeña y micro empresa, or EDPYMEs). They are non-deposit-taking institutions—their one obstacle—that are often owned by NGOs. Most of the currently existing EDPYMEs were formerly credit NGOs. These organisations transformed into regulated MFIs because they wanted to be regulated (with advantages like greater access to wholesale finance) and/or they wanted to avoid paying VAT on interest earned on their loans, as NGOs do. NGOs that have remained in that status have a regulatory pathway to upgrade into EDPYMEs if they fulfil certain steps outlined in the General Law, related to loan provisioning, risk management, information disclosure, and the like. EDPYMEs may also upgrade over time to offer wider services; in practice, some have moved into credit and debit cards but not none have into savings. (Ebentreich, 2005; Microfinance Gateway; personal interview, August 2007).</v>
      </c>
    </row>
    <row r="37" spans="1:2">
      <c r="A37" t="s">
        <v>252</v>
      </c>
      <c r="B37" t="str">
        <f ca="1">IF(B36&lt;&gt;0,B36,"")</f>
        <v>EDPYMEs, also regulated by the SBS under the same umbrella legislation, are entities for the development of small and micro enterprises (entidades de desarollo de la pequeña y micro empresa, or EDPYMEs). They are non-deposit-taking institutions—their one obstacle—that are often owned by NGOs. Most of the currently existing EDPYMEs were formerly credit NGOs. These organisations transformed into regulated MFIs because they wanted to be regulated (with advantages like greater access to wholesale finance) and/or they wanted to avoid paying VAT on interest earned on their loans, as NGOs do. NGOs that have remained in that status have a regulatory pathway to upgrade into EDPYMEs if they fulfil certain steps outlined in the General Law, related to loan provisioning, risk management, information disclosure, and the like. EDPYMEs may also upgrade over time to offer wider services; in practice, some have moved into credit and debit cards but not none have into savings. (Ebentreich, 2005; Microfinance Gateway; personal interview, August 2007).</v>
      </c>
    </row>
    <row r="39" spans="1:2">
      <c r="A39" t="s">
        <v>534</v>
      </c>
      <c r="B39">
        <v>2</v>
      </c>
    </row>
    <row r="40" spans="1:2">
      <c r="A40" t="s">
        <v>535</v>
      </c>
      <c r="B40" t="str">
        <f ca="1">INDEX(uxb_scores_2007!A29:A30,uxb_globals!B39)</f>
        <v>DEP02</v>
      </c>
    </row>
    <row r="41" spans="1:2">
      <c r="A41" t="s">
        <v>374</v>
      </c>
      <c r="B41" t="str">
        <f ca="1">INDEX(uxb_scores_2007!G29:G30,uxb_globals!B39)</f>
        <v>0.0%</v>
      </c>
    </row>
    <row r="44" spans="1:2">
      <c r="A44" t="s">
        <v>536</v>
      </c>
      <c r="B44">
        <v>1</v>
      </c>
    </row>
    <row r="45" spans="1:2">
      <c r="A45" t="s">
        <v>537</v>
      </c>
      <c r="B45" t="str">
        <f ca="1">INDEX(uxb_scores_2007!A3:A6,uxb_globals!B44)</f>
        <v>OVERALL00</v>
      </c>
    </row>
    <row r="46" spans="1:2">
      <c r="A46" t="s">
        <v>538</v>
      </c>
      <c r="B46" t="str">
        <f ca="1">INDEX(uxb_scores_2007!C3:C6,uxb_globals!B44)</f>
        <v>Overall score</v>
      </c>
    </row>
  </sheetData>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sheetPr codeName="Sheet1"/>
  <dimension ref="A1:AD59"/>
  <sheetViews>
    <sheetView zoomScale="80" zoomScaleNormal="80" workbookViewId="0">
      <pane ySplit="2" topLeftCell="A3" activePane="bottomLeft" state="frozen"/>
      <selection activeCell="B20" sqref="B20"/>
      <selection pane="bottomLeft" activeCell="B20" sqref="B20"/>
    </sheetView>
  </sheetViews>
  <sheetFormatPr defaultRowHeight="12.75"/>
  <sheetData>
    <row r="1" spans="1:30">
      <c r="J1" t="s">
        <v>394</v>
      </c>
      <c r="K1" t="s">
        <v>395</v>
      </c>
      <c r="L1" t="s">
        <v>396</v>
      </c>
      <c r="M1" t="s">
        <v>397</v>
      </c>
      <c r="N1" t="s">
        <v>398</v>
      </c>
      <c r="O1" t="s">
        <v>143</v>
      </c>
      <c r="P1" t="s">
        <v>399</v>
      </c>
      <c r="Q1" t="s">
        <v>400</v>
      </c>
      <c r="R1" t="s">
        <v>401</v>
      </c>
      <c r="S1" t="s">
        <v>402</v>
      </c>
      <c r="T1" t="s">
        <v>144</v>
      </c>
      <c r="U1" t="s">
        <v>145</v>
      </c>
      <c r="V1" t="s">
        <v>146</v>
      </c>
      <c r="W1" t="s">
        <v>403</v>
      </c>
      <c r="X1" t="s">
        <v>404</v>
      </c>
      <c r="Y1" t="s">
        <v>147</v>
      </c>
      <c r="Z1" t="s">
        <v>405</v>
      </c>
      <c r="AA1" t="s">
        <v>406</v>
      </c>
      <c r="AB1" t="s">
        <v>407</v>
      </c>
      <c r="AC1" t="s">
        <v>408</v>
      </c>
      <c r="AD1" t="s">
        <v>384</v>
      </c>
    </row>
    <row r="2" spans="1:30">
      <c r="J2" t="s">
        <v>441</v>
      </c>
      <c r="K2" t="s">
        <v>442</v>
      </c>
      <c r="L2" t="s">
        <v>443</v>
      </c>
      <c r="M2" t="s">
        <v>444</v>
      </c>
      <c r="N2" t="s">
        <v>445</v>
      </c>
      <c r="O2" t="s">
        <v>148</v>
      </c>
      <c r="P2" t="s">
        <v>446</v>
      </c>
      <c r="Q2" t="s">
        <v>447</v>
      </c>
      <c r="R2" t="s">
        <v>448</v>
      </c>
      <c r="S2" t="s">
        <v>449</v>
      </c>
      <c r="T2" t="s">
        <v>149</v>
      </c>
      <c r="U2" t="s">
        <v>150</v>
      </c>
      <c r="V2" t="s">
        <v>151</v>
      </c>
      <c r="W2" t="s">
        <v>450</v>
      </c>
      <c r="X2" t="s">
        <v>451</v>
      </c>
      <c r="Y2" t="s">
        <v>152</v>
      </c>
      <c r="Z2" t="s">
        <v>452</v>
      </c>
      <c r="AA2" t="s">
        <v>453</v>
      </c>
      <c r="AB2" t="s">
        <v>454</v>
      </c>
      <c r="AC2" t="s">
        <v>455</v>
      </c>
      <c r="AD2" t="s">
        <v>376</v>
      </c>
    </row>
    <row r="3" spans="1:30">
      <c r="A3" t="s">
        <v>483</v>
      </c>
      <c r="C3" t="s">
        <v>484</v>
      </c>
      <c r="J3" s="3">
        <f>SUMPRODUCT(($B$4:$B$8=$A3)*J$4:J$8*$I$4:$I$8)</f>
        <v>26.833333333333336</v>
      </c>
      <c r="K3" s="3">
        <f t="shared" ref="K3:AC3" si="0">SUMPRODUCT(($B$4:$B$8=$A3)*K$4:K$8*$I$4:$I$8)</f>
        <v>79.416666666666657</v>
      </c>
      <c r="L3" s="3">
        <f t="shared" si="0"/>
        <v>43.25</v>
      </c>
      <c r="M3" s="3">
        <f t="shared" si="0"/>
        <v>48.333333333333329</v>
      </c>
      <c r="N3" s="3">
        <f t="shared" si="0"/>
        <v>46.083333333333329</v>
      </c>
      <c r="O3" s="183">
        <v>-1</v>
      </c>
      <c r="P3" s="3">
        <f t="shared" si="0"/>
        <v>57.5</v>
      </c>
      <c r="Q3" s="3">
        <f t="shared" si="0"/>
        <v>68.25</v>
      </c>
      <c r="R3" s="3">
        <f t="shared" si="0"/>
        <v>61.499999999999993</v>
      </c>
      <c r="S3" s="3">
        <f t="shared" si="0"/>
        <v>44</v>
      </c>
      <c r="T3" s="183">
        <v>-1</v>
      </c>
      <c r="U3" s="183">
        <v>-1</v>
      </c>
      <c r="V3" s="183">
        <v>-1</v>
      </c>
      <c r="W3" s="3">
        <f t="shared" si="0"/>
        <v>48.333333333333329</v>
      </c>
      <c r="X3" s="3">
        <f t="shared" si="0"/>
        <v>53.833333333333329</v>
      </c>
      <c r="Y3" s="183">
        <v>-1</v>
      </c>
      <c r="Z3" s="3">
        <f t="shared" si="0"/>
        <v>52.916666666666664</v>
      </c>
      <c r="AA3" s="3">
        <f t="shared" si="0"/>
        <v>74.083333333333343</v>
      </c>
      <c r="AB3" s="3">
        <f t="shared" si="0"/>
        <v>35.833333333333329</v>
      </c>
      <c r="AC3" s="3">
        <f t="shared" si="0"/>
        <v>27.416666666666664</v>
      </c>
      <c r="AD3">
        <v>0</v>
      </c>
    </row>
    <row r="4" spans="1:30">
      <c r="A4" t="s">
        <v>425</v>
      </c>
      <c r="B4" t="s">
        <v>483</v>
      </c>
      <c r="C4" t="s">
        <v>409</v>
      </c>
      <c r="G4" s="37">
        <f ca="1">Weights!C7</f>
        <v>4</v>
      </c>
      <c r="H4">
        <f>SUMIF(B$4:B$8,B4,G$4:G$8)</f>
        <v>10</v>
      </c>
      <c r="I4" s="2">
        <f>IF(G4=0,0,G4/H4)</f>
        <v>0.4</v>
      </c>
      <c r="J4" s="3">
        <f>SUMPRODUCT(($B$12:$B$31=$A4)*J$12:J$31*$I$12:$I$31*25)</f>
        <v>18.75</v>
      </c>
      <c r="K4" s="3">
        <f t="shared" ref="K4:AC4" si="1">SUMPRODUCT(($B$12:$B$31=$A4)*K$12:K$31*$I$12:$I$31*25)</f>
        <v>100</v>
      </c>
      <c r="L4" s="3">
        <f t="shared" si="1"/>
        <v>43.75</v>
      </c>
      <c r="M4" s="3">
        <f t="shared" si="1"/>
        <v>50</v>
      </c>
      <c r="N4" s="3">
        <f t="shared" si="1"/>
        <v>50</v>
      </c>
      <c r="O4" s="183">
        <v>-1</v>
      </c>
      <c r="P4" s="3">
        <f t="shared" si="1"/>
        <v>50</v>
      </c>
      <c r="Q4" s="3">
        <f t="shared" si="1"/>
        <v>75</v>
      </c>
      <c r="R4" s="3">
        <f t="shared" si="1"/>
        <v>62.5</v>
      </c>
      <c r="S4" s="3">
        <f t="shared" si="1"/>
        <v>56.25</v>
      </c>
      <c r="T4" s="183">
        <v>-1</v>
      </c>
      <c r="U4" s="183">
        <v>-1</v>
      </c>
      <c r="V4" s="183">
        <v>-1</v>
      </c>
      <c r="W4" s="3">
        <f t="shared" si="1"/>
        <v>50</v>
      </c>
      <c r="X4" s="3">
        <f t="shared" si="1"/>
        <v>56.25</v>
      </c>
      <c r="Y4" s="183">
        <v>-1</v>
      </c>
      <c r="Z4" s="3">
        <f t="shared" si="1"/>
        <v>62.5</v>
      </c>
      <c r="AA4" s="3">
        <f t="shared" si="1"/>
        <v>81.25</v>
      </c>
      <c r="AB4" s="3">
        <f t="shared" si="1"/>
        <v>37.5</v>
      </c>
      <c r="AC4" s="3">
        <f t="shared" si="1"/>
        <v>31.25</v>
      </c>
      <c r="AD4">
        <v>0</v>
      </c>
    </row>
    <row r="5" spans="1:30">
      <c r="A5" t="s">
        <v>426</v>
      </c>
      <c r="B5" t="s">
        <v>483</v>
      </c>
      <c r="C5" t="s">
        <v>414</v>
      </c>
      <c r="G5" s="37">
        <f ca="1">Weights!C8</f>
        <v>2</v>
      </c>
      <c r="H5">
        <f>SUMIF(B$4:B$8,B5,G$4:G$8)</f>
        <v>10</v>
      </c>
      <c r="I5" s="2">
        <f>IF(G5=0,0,G5/H5)</f>
        <v>0.2</v>
      </c>
      <c r="J5" s="3">
        <f t="shared" ref="J5:AC6" si="2">SUMPRODUCT(($B$12:$B$31=$A5)*J$12:J$31*$I$12:$I$31*25)</f>
        <v>46.666666666666664</v>
      </c>
      <c r="K5" s="3">
        <f t="shared" si="2"/>
        <v>47.083333333333329</v>
      </c>
      <c r="L5" s="3">
        <f t="shared" si="2"/>
        <v>62.083333333333329</v>
      </c>
      <c r="M5" s="3">
        <f t="shared" si="2"/>
        <v>74.999999999999986</v>
      </c>
      <c r="N5" s="3">
        <f t="shared" si="2"/>
        <v>47.083333333333329</v>
      </c>
      <c r="O5" s="183">
        <v>-1</v>
      </c>
      <c r="P5" s="3">
        <f t="shared" si="2"/>
        <v>37.5</v>
      </c>
      <c r="Q5" s="3">
        <f t="shared" si="2"/>
        <v>41.25</v>
      </c>
      <c r="R5" s="3">
        <f t="shared" si="2"/>
        <v>49.166666666666657</v>
      </c>
      <c r="S5" s="3">
        <f t="shared" si="2"/>
        <v>40.833333333333329</v>
      </c>
      <c r="T5" s="183">
        <v>-1</v>
      </c>
      <c r="U5" s="183">
        <v>-1</v>
      </c>
      <c r="V5" s="183">
        <v>-1</v>
      </c>
      <c r="W5" s="3">
        <f t="shared" si="2"/>
        <v>58.333333333333329</v>
      </c>
      <c r="X5" s="3">
        <f t="shared" si="2"/>
        <v>39.999999999999993</v>
      </c>
      <c r="Y5" s="183">
        <v>-1</v>
      </c>
      <c r="Z5" s="3">
        <f t="shared" si="2"/>
        <v>39.583333333333329</v>
      </c>
      <c r="AA5" s="3">
        <f t="shared" si="2"/>
        <v>57.916666666666671</v>
      </c>
      <c r="AB5" s="3">
        <f t="shared" si="2"/>
        <v>54.166666666666657</v>
      </c>
      <c r="AC5" s="3">
        <f t="shared" si="2"/>
        <v>41.25</v>
      </c>
      <c r="AD5">
        <v>0</v>
      </c>
    </row>
    <row r="6" spans="1:30">
      <c r="A6" t="s">
        <v>427</v>
      </c>
      <c r="B6" t="s">
        <v>483</v>
      </c>
      <c r="C6" t="s">
        <v>421</v>
      </c>
      <c r="G6" s="37">
        <f ca="1">Weights!C9</f>
        <v>4</v>
      </c>
      <c r="H6">
        <f>SUMIF(B$4:B$8,B6,G$4:G$8)</f>
        <v>10</v>
      </c>
      <c r="I6" s="2">
        <f>IF(G6=0,0,G6/H6)</f>
        <v>0.4</v>
      </c>
      <c r="J6" s="3">
        <f t="shared" si="2"/>
        <v>24.999999999999996</v>
      </c>
      <c r="K6" s="3">
        <f t="shared" si="2"/>
        <v>75</v>
      </c>
      <c r="L6" s="3">
        <f t="shared" si="2"/>
        <v>33.333333333333329</v>
      </c>
      <c r="M6" s="3">
        <f t="shared" si="2"/>
        <v>33.333333333333329</v>
      </c>
      <c r="N6" s="3">
        <f t="shared" si="2"/>
        <v>41.666666666666657</v>
      </c>
      <c r="O6" s="183">
        <v>-1</v>
      </c>
      <c r="P6" s="3">
        <f t="shared" si="2"/>
        <v>75</v>
      </c>
      <c r="Q6" s="3">
        <f t="shared" si="2"/>
        <v>75</v>
      </c>
      <c r="R6" s="3">
        <f t="shared" si="2"/>
        <v>66.666666666666657</v>
      </c>
      <c r="S6" s="3">
        <f t="shared" si="2"/>
        <v>33.333333333333329</v>
      </c>
      <c r="T6" s="183">
        <v>-1</v>
      </c>
      <c r="U6" s="183">
        <v>-1</v>
      </c>
      <c r="V6" s="183">
        <v>-1</v>
      </c>
      <c r="W6" s="3">
        <f t="shared" si="2"/>
        <v>41.666666666666657</v>
      </c>
      <c r="X6" s="3">
        <f t="shared" si="2"/>
        <v>58.333333333333329</v>
      </c>
      <c r="Y6" s="183">
        <v>-1</v>
      </c>
      <c r="Z6" s="3">
        <f t="shared" si="2"/>
        <v>49.999999999999993</v>
      </c>
      <c r="AA6" s="3">
        <f t="shared" si="2"/>
        <v>75</v>
      </c>
      <c r="AB6" s="3">
        <f t="shared" si="2"/>
        <v>24.999999999999996</v>
      </c>
      <c r="AC6" s="3">
        <f t="shared" si="2"/>
        <v>16.666666666666664</v>
      </c>
      <c r="AD6">
        <v>0</v>
      </c>
    </row>
    <row r="10" spans="1:30">
      <c r="A10" t="s">
        <v>483</v>
      </c>
      <c r="C10" t="s">
        <v>484</v>
      </c>
      <c r="D10" t="s">
        <v>505</v>
      </c>
      <c r="E10" s="82" t="s">
        <v>389</v>
      </c>
      <c r="F10" s="82" t="s">
        <v>390</v>
      </c>
    </row>
    <row r="11" spans="1:30">
      <c r="A11" s="82" t="s">
        <v>425</v>
      </c>
      <c r="B11" s="82"/>
      <c r="C11" s="83" t="s">
        <v>409</v>
      </c>
      <c r="D11" s="82" t="str">
        <f>C11</f>
        <v xml:space="preserve">Regulatory Framework </v>
      </c>
      <c r="E11" s="82" t="s">
        <v>386</v>
      </c>
      <c r="F11" s="82" t="s">
        <v>390</v>
      </c>
      <c r="G11" s="1"/>
      <c r="H11" s="1"/>
      <c r="I11" s="1"/>
    </row>
    <row r="12" spans="1:30">
      <c r="A12" t="s">
        <v>428</v>
      </c>
      <c r="B12" t="s">
        <v>425</v>
      </c>
      <c r="C12" t="s">
        <v>410</v>
      </c>
      <c r="D12" t="str">
        <f ca="1">CONCATENATE(uxb_globals!$B$15,uxb_scores_2007!C12)</f>
        <v xml:space="preserve">   Regulation of microcredit operations</v>
      </c>
      <c r="E12" t="s">
        <v>485</v>
      </c>
      <c r="F12" t="s">
        <v>497</v>
      </c>
      <c r="G12" s="37">
        <f ca="1">Weights!C14</f>
        <v>1</v>
      </c>
      <c r="H12">
        <f>SUMIF(B$12:B$31,B12,G$12:G$31)</f>
        <v>4</v>
      </c>
      <c r="I12" s="2">
        <f>IF(G12=0,0,G12/H12)</f>
        <v>0.25</v>
      </c>
      <c r="J12">
        <v>1</v>
      </c>
      <c r="K12">
        <v>4</v>
      </c>
      <c r="L12">
        <v>2</v>
      </c>
      <c r="M12">
        <v>2</v>
      </c>
      <c r="N12">
        <v>2</v>
      </c>
      <c r="O12" s="183">
        <v>-1</v>
      </c>
      <c r="P12">
        <v>3</v>
      </c>
      <c r="Q12">
        <v>2</v>
      </c>
      <c r="R12">
        <v>2</v>
      </c>
      <c r="S12">
        <v>3</v>
      </c>
      <c r="T12" s="183">
        <v>-1</v>
      </c>
      <c r="U12" s="183">
        <v>-1</v>
      </c>
      <c r="V12" s="183">
        <v>-1</v>
      </c>
      <c r="W12">
        <v>2</v>
      </c>
      <c r="X12">
        <v>2</v>
      </c>
      <c r="Y12" s="183">
        <v>-1</v>
      </c>
      <c r="Z12">
        <v>3</v>
      </c>
      <c r="AA12">
        <v>4</v>
      </c>
      <c r="AB12">
        <v>3</v>
      </c>
      <c r="AC12">
        <v>1</v>
      </c>
    </row>
    <row r="13" spans="1:30">
      <c r="A13" t="s">
        <v>429</v>
      </c>
      <c r="B13" t="s">
        <v>425</v>
      </c>
      <c r="C13" t="s">
        <v>411</v>
      </c>
      <c r="D13" t="str">
        <f ca="1">CONCATENATE(uxb_globals!$B$15,uxb_scores_2007!C13)</f>
        <v xml:space="preserve">   Formation and operation of regulated/supervised specialised MFIs</v>
      </c>
      <c r="E13" t="s">
        <v>486</v>
      </c>
      <c r="F13" t="s">
        <v>498</v>
      </c>
      <c r="G13" s="37">
        <f ca="1">Weights!C15</f>
        <v>1</v>
      </c>
      <c r="H13">
        <f t="shared" ref="H13:H26" si="3">SUMIF(B$12:B$31,B13,G$12:G$31)</f>
        <v>4</v>
      </c>
      <c r="I13" s="2">
        <f t="shared" ref="I13:I26" si="4">IF(G13=0,0,G13/H13)</f>
        <v>0.25</v>
      </c>
      <c r="J13">
        <v>1</v>
      </c>
      <c r="K13">
        <v>4</v>
      </c>
      <c r="L13">
        <v>2</v>
      </c>
      <c r="M13">
        <v>1</v>
      </c>
      <c r="N13">
        <v>1</v>
      </c>
      <c r="O13" s="183">
        <v>-1</v>
      </c>
      <c r="P13">
        <v>2</v>
      </c>
      <c r="Q13">
        <v>3</v>
      </c>
      <c r="R13">
        <v>3</v>
      </c>
      <c r="S13">
        <v>1</v>
      </c>
      <c r="T13" s="183">
        <v>-1</v>
      </c>
      <c r="U13" s="183">
        <v>-1</v>
      </c>
      <c r="V13" s="183">
        <v>-1</v>
      </c>
      <c r="W13">
        <v>2</v>
      </c>
      <c r="X13">
        <v>2</v>
      </c>
      <c r="Y13" s="183">
        <v>-1</v>
      </c>
      <c r="Z13">
        <v>2</v>
      </c>
      <c r="AA13">
        <v>3</v>
      </c>
      <c r="AB13">
        <v>1</v>
      </c>
      <c r="AC13">
        <v>1</v>
      </c>
    </row>
    <row r="14" spans="1:30">
      <c r="A14" t="s">
        <v>430</v>
      </c>
      <c r="B14" t="s">
        <v>425</v>
      </c>
      <c r="C14" t="s">
        <v>412</v>
      </c>
      <c r="D14" t="str">
        <f ca="1">CONCATENATE(uxb_globals!$B$15,uxb_scores_2007!C14)</f>
        <v xml:space="preserve">   Formation and operation of non-regulated MFIs</v>
      </c>
      <c r="E14" t="s">
        <v>487</v>
      </c>
      <c r="F14" t="s">
        <v>499</v>
      </c>
      <c r="G14" s="37">
        <f ca="1">Weights!C16</f>
        <v>1</v>
      </c>
      <c r="H14">
        <f t="shared" si="3"/>
        <v>4</v>
      </c>
      <c r="I14" s="2">
        <f t="shared" si="4"/>
        <v>0.25</v>
      </c>
      <c r="J14">
        <v>1</v>
      </c>
      <c r="K14">
        <v>4</v>
      </c>
      <c r="L14">
        <v>2</v>
      </c>
      <c r="M14">
        <v>3</v>
      </c>
      <c r="N14">
        <v>3</v>
      </c>
      <c r="O14" s="183">
        <v>-1</v>
      </c>
      <c r="P14">
        <v>3</v>
      </c>
      <c r="Q14">
        <v>4</v>
      </c>
      <c r="R14">
        <v>3</v>
      </c>
      <c r="S14">
        <v>4</v>
      </c>
      <c r="T14" s="183">
        <v>-1</v>
      </c>
      <c r="U14" s="183">
        <v>-1</v>
      </c>
      <c r="V14" s="183">
        <v>-1</v>
      </c>
      <c r="W14">
        <v>2</v>
      </c>
      <c r="X14">
        <v>3</v>
      </c>
      <c r="Y14" s="183">
        <v>-1</v>
      </c>
      <c r="Z14">
        <v>3</v>
      </c>
      <c r="AA14">
        <v>2</v>
      </c>
      <c r="AB14">
        <v>1</v>
      </c>
      <c r="AC14">
        <v>1</v>
      </c>
    </row>
    <row r="15" spans="1:30">
      <c r="A15" t="s">
        <v>431</v>
      </c>
      <c r="B15" t="s">
        <v>425</v>
      </c>
      <c r="C15" t="s">
        <v>413</v>
      </c>
      <c r="D15" t="str">
        <f ca="1">CONCATENATE(uxb_globals!$B$15,uxb_scores_2007!C15)</f>
        <v xml:space="preserve">   Regulatory and examination capacity</v>
      </c>
      <c r="E15" t="s">
        <v>488</v>
      </c>
      <c r="F15" t="s">
        <v>500</v>
      </c>
      <c r="G15" s="37">
        <f ca="1">Weights!C17</f>
        <v>1</v>
      </c>
      <c r="H15">
        <f t="shared" si="3"/>
        <v>4</v>
      </c>
      <c r="I15" s="2">
        <f t="shared" si="4"/>
        <v>0.25</v>
      </c>
      <c r="J15">
        <v>0</v>
      </c>
      <c r="K15">
        <v>4</v>
      </c>
      <c r="L15">
        <v>1</v>
      </c>
      <c r="M15">
        <v>2</v>
      </c>
      <c r="N15">
        <v>2</v>
      </c>
      <c r="O15" s="183">
        <v>-1</v>
      </c>
      <c r="P15">
        <v>0</v>
      </c>
      <c r="Q15">
        <v>3</v>
      </c>
      <c r="R15">
        <v>2</v>
      </c>
      <c r="S15">
        <v>1</v>
      </c>
      <c r="T15" s="183">
        <v>-1</v>
      </c>
      <c r="U15" s="183">
        <v>-1</v>
      </c>
      <c r="V15" s="183">
        <v>-1</v>
      </c>
      <c r="W15">
        <v>2</v>
      </c>
      <c r="X15">
        <v>2</v>
      </c>
      <c r="Y15" s="183">
        <v>-1</v>
      </c>
      <c r="Z15">
        <v>2</v>
      </c>
      <c r="AA15">
        <v>4</v>
      </c>
      <c r="AB15">
        <v>1</v>
      </c>
      <c r="AC15">
        <v>2</v>
      </c>
    </row>
    <row r="16" spans="1:30">
      <c r="A16" s="82" t="s">
        <v>426</v>
      </c>
      <c r="B16" s="82"/>
      <c r="C16" s="83" t="s">
        <v>414</v>
      </c>
      <c r="D16" s="82" t="str">
        <f ca="1">C16</f>
        <v>Investment Climate</v>
      </c>
      <c r="E16" s="82" t="s">
        <v>387</v>
      </c>
      <c r="F16" s="82" t="s">
        <v>390</v>
      </c>
      <c r="G16" s="37"/>
      <c r="I16" s="2"/>
    </row>
    <row r="17" spans="1:29">
      <c r="A17" t="s">
        <v>432</v>
      </c>
      <c r="B17" t="s">
        <v>426</v>
      </c>
      <c r="C17" t="s">
        <v>415</v>
      </c>
      <c r="D17" t="str">
        <f ca="1">CONCATENATE(uxb_globals!$B$15,uxb_scores_2007!C17)</f>
        <v xml:space="preserve">   Political stability</v>
      </c>
      <c r="E17" t="s">
        <v>378</v>
      </c>
      <c r="F17" t="s">
        <v>379</v>
      </c>
      <c r="G17" s="37">
        <f ca="1">Weights!C19</f>
        <v>1</v>
      </c>
      <c r="H17">
        <f t="shared" si="3"/>
        <v>6</v>
      </c>
      <c r="I17" s="2">
        <f t="shared" si="4"/>
        <v>0.16666666666666666</v>
      </c>
      <c r="J17">
        <v>2.2000000000000002</v>
      </c>
      <c r="K17">
        <v>1.2</v>
      </c>
      <c r="L17">
        <v>3</v>
      </c>
      <c r="M17">
        <v>3.2</v>
      </c>
      <c r="N17">
        <v>2.2000000000000002</v>
      </c>
      <c r="O17" s="183">
        <v>-1</v>
      </c>
      <c r="P17">
        <v>2</v>
      </c>
      <c r="Q17">
        <v>0.8</v>
      </c>
      <c r="R17">
        <v>2.8</v>
      </c>
      <c r="S17">
        <v>1.6</v>
      </c>
      <c r="T17" s="183">
        <v>-1</v>
      </c>
      <c r="U17" s="183">
        <v>-1</v>
      </c>
      <c r="V17" s="183">
        <v>-1</v>
      </c>
      <c r="W17">
        <v>2.6</v>
      </c>
      <c r="X17">
        <v>2</v>
      </c>
      <c r="Y17" s="183">
        <v>-1</v>
      </c>
      <c r="Z17">
        <v>1.8</v>
      </c>
      <c r="AA17">
        <v>2.2000000000000002</v>
      </c>
      <c r="AB17">
        <v>2.8</v>
      </c>
      <c r="AC17">
        <v>1.4</v>
      </c>
    </row>
    <row r="18" spans="1:29">
      <c r="A18" t="s">
        <v>433</v>
      </c>
      <c r="B18" t="s">
        <v>426</v>
      </c>
      <c r="C18" t="s">
        <v>416</v>
      </c>
      <c r="D18" t="str">
        <f ca="1">CONCATENATE(uxb_globals!$B$15,uxb_scores_2007!C18)</f>
        <v xml:space="preserve">   Capital market development</v>
      </c>
      <c r="E18" t="s">
        <v>381</v>
      </c>
      <c r="F18" t="s">
        <v>380</v>
      </c>
      <c r="G18" s="37">
        <f ca="1">Weights!C20</f>
        <v>1</v>
      </c>
      <c r="H18">
        <f t="shared" si="3"/>
        <v>6</v>
      </c>
      <c r="I18" s="2">
        <f t="shared" si="4"/>
        <v>0.16666666666666666</v>
      </c>
      <c r="J18">
        <v>2</v>
      </c>
      <c r="K18">
        <v>1.4</v>
      </c>
      <c r="L18">
        <v>2.2000000000000002</v>
      </c>
      <c r="M18">
        <v>3.8</v>
      </c>
      <c r="N18">
        <v>1.8</v>
      </c>
      <c r="O18" s="183">
        <v>-1</v>
      </c>
      <c r="P18">
        <v>1</v>
      </c>
      <c r="Q18">
        <v>0.8</v>
      </c>
      <c r="R18">
        <v>2</v>
      </c>
      <c r="S18">
        <v>1.2</v>
      </c>
      <c r="T18" s="183">
        <v>-1</v>
      </c>
      <c r="U18" s="183">
        <v>-1</v>
      </c>
      <c r="V18" s="183">
        <v>-1</v>
      </c>
      <c r="W18">
        <v>2.4</v>
      </c>
      <c r="X18">
        <v>1.6</v>
      </c>
      <c r="Y18" s="183">
        <v>-1</v>
      </c>
      <c r="Z18">
        <v>1.4</v>
      </c>
      <c r="AA18">
        <v>2.4</v>
      </c>
      <c r="AB18">
        <v>1.2</v>
      </c>
      <c r="AC18">
        <v>1.2</v>
      </c>
    </row>
    <row r="19" spans="1:29">
      <c r="A19" t="s">
        <v>434</v>
      </c>
      <c r="B19" t="s">
        <v>426</v>
      </c>
      <c r="C19" t="s">
        <v>417</v>
      </c>
      <c r="D19" t="str">
        <f ca="1">CONCATENATE(uxb_globals!$B$15,uxb_scores_2007!C19)</f>
        <v xml:space="preserve">   Judicial system</v>
      </c>
      <c r="E19" t="s">
        <v>383</v>
      </c>
      <c r="F19" t="s">
        <v>382</v>
      </c>
      <c r="G19" s="37">
        <f ca="1">Weights!C21</f>
        <v>1</v>
      </c>
      <c r="H19">
        <f t="shared" si="3"/>
        <v>6</v>
      </c>
      <c r="I19" s="2">
        <f t="shared" si="4"/>
        <v>0.16666666666666666</v>
      </c>
      <c r="J19">
        <v>1</v>
      </c>
      <c r="K19">
        <v>0.7</v>
      </c>
      <c r="L19">
        <v>1.7</v>
      </c>
      <c r="M19">
        <v>3</v>
      </c>
      <c r="N19">
        <v>1.3</v>
      </c>
      <c r="O19" s="183">
        <v>-1</v>
      </c>
      <c r="P19">
        <v>1</v>
      </c>
      <c r="Q19">
        <v>0.3</v>
      </c>
      <c r="R19">
        <v>1</v>
      </c>
      <c r="S19">
        <v>1</v>
      </c>
      <c r="T19" s="183">
        <v>-1</v>
      </c>
      <c r="U19" s="183">
        <v>-1</v>
      </c>
      <c r="V19" s="183">
        <v>-1</v>
      </c>
      <c r="W19">
        <v>2</v>
      </c>
      <c r="X19">
        <v>0</v>
      </c>
      <c r="Y19" s="183">
        <v>-1</v>
      </c>
      <c r="Z19">
        <v>1.3</v>
      </c>
      <c r="AA19">
        <v>0.3</v>
      </c>
      <c r="AB19">
        <v>2</v>
      </c>
      <c r="AC19">
        <v>0.3</v>
      </c>
    </row>
    <row r="20" spans="1:29">
      <c r="A20" t="s">
        <v>435</v>
      </c>
      <c r="B20" t="s">
        <v>426</v>
      </c>
      <c r="C20" t="s">
        <v>418</v>
      </c>
      <c r="D20" t="str">
        <f ca="1">CONCATENATE(uxb_globals!$B$15,uxb_scores_2007!C20)</f>
        <v xml:space="preserve">   Accounting standards</v>
      </c>
      <c r="E20" t="s">
        <v>489</v>
      </c>
      <c r="F20" t="s">
        <v>501</v>
      </c>
      <c r="G20" s="37">
        <f ca="1">Weights!C22</f>
        <v>1</v>
      </c>
      <c r="H20">
        <f t="shared" si="3"/>
        <v>6</v>
      </c>
      <c r="I20" s="2">
        <f t="shared" si="4"/>
        <v>0.16666666666666666</v>
      </c>
      <c r="J20">
        <v>3</v>
      </c>
      <c r="K20">
        <v>2</v>
      </c>
      <c r="L20">
        <v>3</v>
      </c>
      <c r="M20">
        <v>3</v>
      </c>
      <c r="N20">
        <v>2</v>
      </c>
      <c r="O20" s="183">
        <v>-1</v>
      </c>
      <c r="P20">
        <v>2</v>
      </c>
      <c r="Q20">
        <v>4</v>
      </c>
      <c r="R20">
        <v>3</v>
      </c>
      <c r="S20">
        <v>3</v>
      </c>
      <c r="T20" s="183">
        <v>-1</v>
      </c>
      <c r="U20" s="183">
        <v>-1</v>
      </c>
      <c r="V20" s="183">
        <v>-1</v>
      </c>
      <c r="W20">
        <v>3</v>
      </c>
      <c r="X20">
        <v>3</v>
      </c>
      <c r="Y20" s="183">
        <v>-1</v>
      </c>
      <c r="Z20">
        <v>1</v>
      </c>
      <c r="AA20">
        <v>3</v>
      </c>
      <c r="AB20">
        <v>3</v>
      </c>
      <c r="AC20">
        <v>3</v>
      </c>
    </row>
    <row r="21" spans="1:29">
      <c r="A21" t="s">
        <v>436</v>
      </c>
      <c r="B21" t="s">
        <v>426</v>
      </c>
      <c r="C21" t="s">
        <v>419</v>
      </c>
      <c r="D21" t="str">
        <f ca="1">CONCATENATE(uxb_globals!$B$15,uxb_scores_2007!C21)</f>
        <v xml:space="preserve">   Governance standards</v>
      </c>
      <c r="E21" t="s">
        <v>490</v>
      </c>
      <c r="F21" t="s">
        <v>519</v>
      </c>
      <c r="G21" s="37">
        <f ca="1">Weights!C23</f>
        <v>1</v>
      </c>
      <c r="H21">
        <f t="shared" si="3"/>
        <v>6</v>
      </c>
      <c r="I21" s="2">
        <f t="shared" si="4"/>
        <v>0.16666666666666666</v>
      </c>
      <c r="J21">
        <v>2</v>
      </c>
      <c r="K21">
        <v>3</v>
      </c>
      <c r="L21">
        <v>3</v>
      </c>
      <c r="M21">
        <v>3</v>
      </c>
      <c r="N21">
        <v>2</v>
      </c>
      <c r="O21" s="183">
        <v>-1</v>
      </c>
      <c r="P21">
        <v>1</v>
      </c>
      <c r="Q21">
        <v>2</v>
      </c>
      <c r="R21">
        <v>1</v>
      </c>
      <c r="S21">
        <v>1</v>
      </c>
      <c r="T21" s="183">
        <v>-1</v>
      </c>
      <c r="U21" s="183">
        <v>-1</v>
      </c>
      <c r="V21" s="183">
        <v>-1</v>
      </c>
      <c r="W21">
        <v>2</v>
      </c>
      <c r="X21">
        <v>2</v>
      </c>
      <c r="Y21" s="183">
        <v>-1</v>
      </c>
      <c r="Z21">
        <v>2</v>
      </c>
      <c r="AA21">
        <v>3</v>
      </c>
      <c r="AB21">
        <v>2</v>
      </c>
      <c r="AC21">
        <v>1</v>
      </c>
    </row>
    <row r="22" spans="1:29">
      <c r="A22" t="s">
        <v>437</v>
      </c>
      <c r="B22" t="s">
        <v>426</v>
      </c>
      <c r="C22" t="s">
        <v>420</v>
      </c>
      <c r="D22" t="str">
        <f ca="1">CONCATENATE(uxb_globals!$B$15,uxb_scores_2007!C22)</f>
        <v xml:space="preserve">   MFI transparency</v>
      </c>
      <c r="E22" t="s">
        <v>491</v>
      </c>
      <c r="F22" t="s">
        <v>502</v>
      </c>
      <c r="G22" s="37">
        <f ca="1">Weights!C24</f>
        <v>1</v>
      </c>
      <c r="H22">
        <f t="shared" si="3"/>
        <v>6</v>
      </c>
      <c r="I22" s="2">
        <f t="shared" si="4"/>
        <v>0.16666666666666666</v>
      </c>
      <c r="J22">
        <v>1</v>
      </c>
      <c r="K22">
        <v>3</v>
      </c>
      <c r="L22">
        <v>2</v>
      </c>
      <c r="M22">
        <v>2</v>
      </c>
      <c r="N22">
        <v>2</v>
      </c>
      <c r="O22" s="183">
        <v>-1</v>
      </c>
      <c r="P22">
        <v>2</v>
      </c>
      <c r="Q22">
        <v>2</v>
      </c>
      <c r="R22">
        <v>2</v>
      </c>
      <c r="S22">
        <v>2</v>
      </c>
      <c r="T22" s="183">
        <v>-1</v>
      </c>
      <c r="U22" s="183">
        <v>-1</v>
      </c>
      <c r="V22" s="183">
        <v>-1</v>
      </c>
      <c r="W22">
        <v>2</v>
      </c>
      <c r="X22">
        <v>1</v>
      </c>
      <c r="Y22" s="183">
        <v>-1</v>
      </c>
      <c r="Z22">
        <v>2</v>
      </c>
      <c r="AA22">
        <v>3</v>
      </c>
      <c r="AB22">
        <v>2</v>
      </c>
      <c r="AC22">
        <v>3</v>
      </c>
    </row>
    <row r="23" spans="1:29">
      <c r="A23" s="82" t="s">
        <v>427</v>
      </c>
      <c r="B23" s="82"/>
      <c r="C23" s="83" t="s">
        <v>421</v>
      </c>
      <c r="D23" s="82" t="str">
        <f ca="1">C23</f>
        <v>Institutional Development</v>
      </c>
      <c r="E23" s="82" t="s">
        <v>388</v>
      </c>
      <c r="F23" s="82" t="s">
        <v>390</v>
      </c>
      <c r="G23" s="37"/>
      <c r="I23" s="2"/>
    </row>
    <row r="24" spans="1:29">
      <c r="A24" t="s">
        <v>438</v>
      </c>
      <c r="B24" t="s">
        <v>427</v>
      </c>
      <c r="C24" t="s">
        <v>422</v>
      </c>
      <c r="D24" t="str">
        <f ca="1">CONCATENATE(uxb_globals!$B$15,uxb_scores_2007!C24)</f>
        <v xml:space="preserve">   Range of MFI Services</v>
      </c>
      <c r="E24" t="s">
        <v>492</v>
      </c>
      <c r="F24" t="s">
        <v>503</v>
      </c>
      <c r="G24" s="37">
        <f ca="1">Weights!C26</f>
        <v>1</v>
      </c>
      <c r="H24">
        <f t="shared" si="3"/>
        <v>3</v>
      </c>
      <c r="I24" s="2">
        <f t="shared" si="4"/>
        <v>0.33333333333333331</v>
      </c>
      <c r="J24">
        <v>1</v>
      </c>
      <c r="K24">
        <v>4</v>
      </c>
      <c r="L24">
        <v>2</v>
      </c>
      <c r="M24">
        <v>2</v>
      </c>
      <c r="N24">
        <v>2</v>
      </c>
      <c r="O24" s="183">
        <v>-1</v>
      </c>
      <c r="P24">
        <v>3</v>
      </c>
      <c r="Q24">
        <v>2</v>
      </c>
      <c r="R24">
        <v>2</v>
      </c>
      <c r="S24">
        <v>2</v>
      </c>
      <c r="T24" s="183">
        <v>-1</v>
      </c>
      <c r="U24" s="183">
        <v>-1</v>
      </c>
      <c r="V24" s="183">
        <v>-1</v>
      </c>
      <c r="W24">
        <v>2</v>
      </c>
      <c r="X24">
        <v>2</v>
      </c>
      <c r="Y24" s="183">
        <v>-1</v>
      </c>
      <c r="Z24">
        <v>2</v>
      </c>
      <c r="AA24">
        <v>3</v>
      </c>
      <c r="AB24">
        <v>1</v>
      </c>
      <c r="AC24">
        <v>2</v>
      </c>
    </row>
    <row r="25" spans="1:29">
      <c r="A25" t="s">
        <v>439</v>
      </c>
      <c r="B25" t="s">
        <v>427</v>
      </c>
      <c r="C25" t="s">
        <v>423</v>
      </c>
      <c r="D25" t="str">
        <f ca="1">CONCATENATE(uxb_globals!$B$15,uxb_scores_2007!C25)</f>
        <v xml:space="preserve">   Credit bureaus</v>
      </c>
      <c r="E25" t="s">
        <v>493</v>
      </c>
      <c r="F25" t="s">
        <v>504</v>
      </c>
      <c r="G25" s="37">
        <f ca="1">Weights!C27</f>
        <v>1</v>
      </c>
      <c r="H25">
        <f t="shared" si="3"/>
        <v>3</v>
      </c>
      <c r="I25" s="2">
        <f t="shared" si="4"/>
        <v>0.33333333333333331</v>
      </c>
      <c r="J25">
        <v>2</v>
      </c>
      <c r="K25">
        <v>3</v>
      </c>
      <c r="L25">
        <v>2</v>
      </c>
      <c r="M25">
        <v>2</v>
      </c>
      <c r="N25">
        <v>2</v>
      </c>
      <c r="O25" s="183">
        <v>-1</v>
      </c>
      <c r="P25">
        <v>3</v>
      </c>
      <c r="Q25">
        <v>4</v>
      </c>
      <c r="R25">
        <v>4</v>
      </c>
      <c r="S25">
        <v>2</v>
      </c>
      <c r="T25" s="183">
        <v>-1</v>
      </c>
      <c r="U25" s="183">
        <v>-1</v>
      </c>
      <c r="V25" s="183">
        <v>-1</v>
      </c>
      <c r="W25">
        <v>2</v>
      </c>
      <c r="X25">
        <v>2</v>
      </c>
      <c r="Y25" s="183">
        <v>-1</v>
      </c>
      <c r="Z25">
        <v>2</v>
      </c>
      <c r="AA25">
        <v>3</v>
      </c>
      <c r="AB25">
        <v>2</v>
      </c>
      <c r="AC25">
        <v>0</v>
      </c>
    </row>
    <row r="26" spans="1:29">
      <c r="A26" t="s">
        <v>440</v>
      </c>
      <c r="B26" t="s">
        <v>427</v>
      </c>
      <c r="C26" t="s">
        <v>424</v>
      </c>
      <c r="D26" t="str">
        <f ca="1">CONCATENATE(uxb_globals!$B$15,uxb_scores_2007!C26)</f>
        <v xml:space="preserve">   Level of competition</v>
      </c>
      <c r="E26" t="s">
        <v>494</v>
      </c>
      <c r="F26" t="s">
        <v>520</v>
      </c>
      <c r="G26" s="37">
        <f ca="1">Weights!C28</f>
        <v>1</v>
      </c>
      <c r="H26">
        <f t="shared" si="3"/>
        <v>3</v>
      </c>
      <c r="I26" s="2">
        <f t="shared" si="4"/>
        <v>0.33333333333333331</v>
      </c>
      <c r="J26">
        <v>0</v>
      </c>
      <c r="K26">
        <v>2</v>
      </c>
      <c r="L26">
        <v>0</v>
      </c>
      <c r="M26">
        <v>0</v>
      </c>
      <c r="N26">
        <v>1</v>
      </c>
      <c r="O26" s="183">
        <v>-1</v>
      </c>
      <c r="P26">
        <v>3</v>
      </c>
      <c r="Q26">
        <v>3</v>
      </c>
      <c r="R26">
        <v>2</v>
      </c>
      <c r="S26">
        <v>0</v>
      </c>
      <c r="T26" s="183">
        <v>-1</v>
      </c>
      <c r="U26" s="183">
        <v>-1</v>
      </c>
      <c r="V26" s="183">
        <v>-1</v>
      </c>
      <c r="W26">
        <v>1</v>
      </c>
      <c r="X26">
        <v>3</v>
      </c>
      <c r="Y26" s="183">
        <v>-1</v>
      </c>
      <c r="Z26">
        <v>2</v>
      </c>
      <c r="AA26">
        <v>3</v>
      </c>
      <c r="AB26">
        <v>0</v>
      </c>
      <c r="AC26">
        <v>0</v>
      </c>
    </row>
    <row r="29" spans="1:29">
      <c r="A29" t="s">
        <v>531</v>
      </c>
      <c r="C29" t="s">
        <v>533</v>
      </c>
      <c r="G29" s="181" t="s">
        <v>242</v>
      </c>
      <c r="J29">
        <v>2.759380182421227E-4</v>
      </c>
      <c r="K29">
        <v>5.9721350762527242E-2</v>
      </c>
      <c r="L29">
        <v>1.5728673500412628E-3</v>
      </c>
      <c r="M29">
        <v>1.8318989364972029E-2</v>
      </c>
      <c r="N29">
        <v>1.370736842105263E-2</v>
      </c>
      <c r="P29">
        <v>1.6089006974427101E-2</v>
      </c>
      <c r="Q29">
        <v>4.0536889897843362E-2</v>
      </c>
      <c r="R29">
        <v>2.1508395802098946E-2</v>
      </c>
      <c r="S29">
        <v>2.8582690794649881E-2</v>
      </c>
      <c r="W29">
        <v>1.1467849307458467E-2</v>
      </c>
      <c r="X29">
        <v>6.9209213716660889E-2</v>
      </c>
      <c r="Z29">
        <v>1.6158661016949183E-2</v>
      </c>
      <c r="AA29">
        <v>4.202100404336781E-2</v>
      </c>
      <c r="AB29">
        <v>2.1642468239564429E-3</v>
      </c>
      <c r="AC29">
        <v>1.698225075528701E-3</v>
      </c>
    </row>
    <row r="30" spans="1:29">
      <c r="A30" t="s">
        <v>532</v>
      </c>
      <c r="C30" t="s">
        <v>241</v>
      </c>
      <c r="G30" s="181" t="s">
        <v>242</v>
      </c>
      <c r="J30">
        <v>2.8115176915192966E-3</v>
      </c>
      <c r="K30">
        <v>0.31562869894023204</v>
      </c>
      <c r="L30">
        <v>1.2928303003645846E-2</v>
      </c>
      <c r="M30">
        <v>0.19904656431850123</v>
      </c>
      <c r="N30">
        <v>7.1735555704497106E-2</v>
      </c>
      <c r="P30">
        <v>0.10382451590780013</v>
      </c>
      <c r="Q30">
        <v>0.26904596525221602</v>
      </c>
      <c r="R30">
        <v>0.16196593161937706</v>
      </c>
      <c r="S30">
        <v>0.22704793189674516</v>
      </c>
      <c r="W30">
        <v>0.11716820292479894</v>
      </c>
      <c r="X30">
        <v>0.58347605802433988</v>
      </c>
      <c r="Z30">
        <v>6.179420534093856E-2</v>
      </c>
      <c r="AA30">
        <v>0.23518268818494176</v>
      </c>
      <c r="AB30">
        <v>1.8481447519663175E-2</v>
      </c>
      <c r="AC30">
        <v>1.3848243648281897E-2</v>
      </c>
    </row>
    <row r="32" spans="1:29" ht="11.25" customHeight="1">
      <c r="A32" s="135" t="s">
        <v>385</v>
      </c>
    </row>
    <row r="43" spans="3:29">
      <c r="C43" t="s">
        <v>484</v>
      </c>
    </row>
    <row r="44" spans="3:29">
      <c r="C44" s="83" t="s">
        <v>409</v>
      </c>
    </row>
    <row r="45" spans="3:29">
      <c r="C45" t="s">
        <v>410</v>
      </c>
      <c r="J45" t="s">
        <v>521</v>
      </c>
      <c r="K45" t="s">
        <v>243</v>
      </c>
      <c r="L45" t="s">
        <v>522</v>
      </c>
      <c r="M45" t="s">
        <v>226</v>
      </c>
      <c r="N45" t="s">
        <v>523</v>
      </c>
      <c r="P45" t="s">
        <v>524</v>
      </c>
      <c r="Q45" t="s">
        <v>525</v>
      </c>
      <c r="R45" t="s">
        <v>392</v>
      </c>
      <c r="S45" t="s">
        <v>393</v>
      </c>
      <c r="W45" t="s">
        <v>186</v>
      </c>
      <c r="X45" t="s">
        <v>369</v>
      </c>
      <c r="Z45" t="s">
        <v>227</v>
      </c>
      <c r="AA45" t="s">
        <v>370</v>
      </c>
      <c r="AB45" t="s">
        <v>371</v>
      </c>
      <c r="AC45" t="s">
        <v>364</v>
      </c>
    </row>
    <row r="46" spans="3:29">
      <c r="C46" t="s">
        <v>411</v>
      </c>
      <c r="J46" t="s">
        <v>325</v>
      </c>
      <c r="K46" t="s">
        <v>326</v>
      </c>
      <c r="L46" t="s">
        <v>228</v>
      </c>
      <c r="M46" t="s">
        <v>327</v>
      </c>
      <c r="N46" t="s">
        <v>329</v>
      </c>
      <c r="P46" t="s">
        <v>129</v>
      </c>
      <c r="Q46" t="s">
        <v>332</v>
      </c>
      <c r="R46" t="s">
        <v>333</v>
      </c>
      <c r="S46" t="s">
        <v>334</v>
      </c>
      <c r="W46" t="s">
        <v>263</v>
      </c>
      <c r="X46" t="s">
        <v>284</v>
      </c>
      <c r="Z46" t="s">
        <v>229</v>
      </c>
      <c r="AA46" t="s">
        <v>230</v>
      </c>
      <c r="AB46" t="s">
        <v>285</v>
      </c>
      <c r="AC46" t="s">
        <v>286</v>
      </c>
    </row>
    <row r="47" spans="3:29">
      <c r="C47" t="s">
        <v>412</v>
      </c>
      <c r="J47" t="s">
        <v>266</v>
      </c>
      <c r="K47" t="s">
        <v>337</v>
      </c>
      <c r="L47" t="s">
        <v>338</v>
      </c>
      <c r="M47" t="s">
        <v>339</v>
      </c>
      <c r="N47" t="s">
        <v>267</v>
      </c>
      <c r="P47" t="s">
        <v>290</v>
      </c>
      <c r="Q47" t="s">
        <v>291</v>
      </c>
      <c r="R47" t="s">
        <v>292</v>
      </c>
      <c r="S47" t="s">
        <v>358</v>
      </c>
      <c r="W47" t="s">
        <v>130</v>
      </c>
      <c r="X47" t="s">
        <v>359</v>
      </c>
      <c r="Z47" t="s">
        <v>360</v>
      </c>
      <c r="AA47" t="s">
        <v>361</v>
      </c>
      <c r="AB47" t="s">
        <v>270</v>
      </c>
      <c r="AC47" t="s">
        <v>342</v>
      </c>
    </row>
    <row r="48" spans="3:29">
      <c r="C48" t="s">
        <v>413</v>
      </c>
      <c r="J48" t="s">
        <v>343</v>
      </c>
      <c r="K48" t="s">
        <v>344</v>
      </c>
      <c r="L48" t="s">
        <v>271</v>
      </c>
      <c r="M48" t="s">
        <v>272</v>
      </c>
      <c r="N48" t="s">
        <v>273</v>
      </c>
      <c r="P48" t="s">
        <v>231</v>
      </c>
      <c r="Q48" t="s">
        <v>274</v>
      </c>
      <c r="R48" t="s">
        <v>275</v>
      </c>
      <c r="S48" t="s">
        <v>303</v>
      </c>
      <c r="W48" t="s">
        <v>304</v>
      </c>
      <c r="X48" t="s">
        <v>310</v>
      </c>
      <c r="Z48" t="s">
        <v>311</v>
      </c>
      <c r="AA48" t="s">
        <v>279</v>
      </c>
      <c r="AB48" t="s">
        <v>280</v>
      </c>
      <c r="AC48" t="s">
        <v>281</v>
      </c>
    </row>
    <row r="49" spans="3:29">
      <c r="C49" s="83" t="s">
        <v>414</v>
      </c>
    </row>
    <row r="50" spans="3:29">
      <c r="C50" t="s">
        <v>415</v>
      </c>
      <c r="J50" t="s">
        <v>351</v>
      </c>
      <c r="K50" t="s">
        <v>352</v>
      </c>
      <c r="L50" t="s">
        <v>287</v>
      </c>
      <c r="M50" t="s">
        <v>356</v>
      </c>
      <c r="N50" t="s">
        <v>288</v>
      </c>
      <c r="P50" t="s">
        <v>353</v>
      </c>
      <c r="Q50" t="s">
        <v>354</v>
      </c>
      <c r="R50" t="s">
        <v>355</v>
      </c>
      <c r="S50" t="s">
        <v>289</v>
      </c>
      <c r="W50" t="s">
        <v>296</v>
      </c>
      <c r="X50" t="s">
        <v>297</v>
      </c>
      <c r="Z50" t="s">
        <v>298</v>
      </c>
      <c r="AA50" t="s">
        <v>299</v>
      </c>
      <c r="AB50" t="s">
        <v>362</v>
      </c>
      <c r="AC50" t="s">
        <v>363</v>
      </c>
    </row>
    <row r="51" spans="3:29">
      <c r="C51" t="s">
        <v>416</v>
      </c>
      <c r="J51" t="s">
        <v>308</v>
      </c>
      <c r="K51" t="s">
        <v>309</v>
      </c>
      <c r="L51" t="s">
        <v>314</v>
      </c>
      <c r="M51" t="s">
        <v>315</v>
      </c>
      <c r="N51" t="s">
        <v>312</v>
      </c>
      <c r="P51" t="s">
        <v>313</v>
      </c>
      <c r="Q51" t="s">
        <v>318</v>
      </c>
      <c r="R51" t="s">
        <v>319</v>
      </c>
      <c r="S51" t="s">
        <v>320</v>
      </c>
      <c r="W51" t="s">
        <v>321</v>
      </c>
      <c r="X51" t="s">
        <v>323</v>
      </c>
      <c r="Z51" t="s">
        <v>324</v>
      </c>
      <c r="AA51" t="s">
        <v>330</v>
      </c>
      <c r="AB51" t="s">
        <v>331</v>
      </c>
      <c r="AC51" t="s">
        <v>328</v>
      </c>
    </row>
    <row r="52" spans="3:29">
      <c r="C52" t="s">
        <v>417</v>
      </c>
      <c r="J52" t="s">
        <v>349</v>
      </c>
      <c r="K52" t="s">
        <v>350</v>
      </c>
      <c r="L52" t="s">
        <v>282</v>
      </c>
      <c r="M52" t="s">
        <v>283</v>
      </c>
      <c r="N52" t="s">
        <v>264</v>
      </c>
      <c r="P52" t="s">
        <v>335</v>
      </c>
      <c r="Q52" t="s">
        <v>336</v>
      </c>
      <c r="R52" t="s">
        <v>265</v>
      </c>
      <c r="S52" t="s">
        <v>293</v>
      </c>
      <c r="W52" t="s">
        <v>357</v>
      </c>
      <c r="X52" t="s">
        <v>294</v>
      </c>
      <c r="Z52" t="s">
        <v>295</v>
      </c>
      <c r="AA52" t="s">
        <v>340</v>
      </c>
      <c r="AB52" t="s">
        <v>341</v>
      </c>
      <c r="AC52" t="s">
        <v>268</v>
      </c>
    </row>
    <row r="53" spans="3:29">
      <c r="C53" t="s">
        <v>418</v>
      </c>
      <c r="J53" t="s">
        <v>269</v>
      </c>
      <c r="K53" t="s">
        <v>300</v>
      </c>
      <c r="L53" t="s">
        <v>301</v>
      </c>
      <c r="M53" t="s">
        <v>302</v>
      </c>
      <c r="N53" t="s">
        <v>305</v>
      </c>
      <c r="P53" t="s">
        <v>306</v>
      </c>
      <c r="Q53" t="s">
        <v>307</v>
      </c>
      <c r="R53" t="s">
        <v>276</v>
      </c>
      <c r="S53" t="s">
        <v>277</v>
      </c>
      <c r="W53" t="s">
        <v>278</v>
      </c>
      <c r="X53" t="s">
        <v>345</v>
      </c>
      <c r="Z53" t="s">
        <v>346</v>
      </c>
      <c r="AA53" t="s">
        <v>347</v>
      </c>
      <c r="AB53" t="s">
        <v>232</v>
      </c>
      <c r="AC53" t="s">
        <v>348</v>
      </c>
    </row>
    <row r="54" spans="3:29">
      <c r="C54" t="s">
        <v>419</v>
      </c>
      <c r="J54" t="s">
        <v>316</v>
      </c>
      <c r="K54" t="s">
        <v>317</v>
      </c>
      <c r="L54" t="s">
        <v>322</v>
      </c>
      <c r="M54" t="s">
        <v>233</v>
      </c>
      <c r="N54" t="s">
        <v>262</v>
      </c>
      <c r="P54" t="s">
        <v>253</v>
      </c>
      <c r="Q54" t="s">
        <v>254</v>
      </c>
      <c r="R54" t="s">
        <v>255</v>
      </c>
      <c r="S54" t="s">
        <v>256</v>
      </c>
      <c r="W54" t="s">
        <v>257</v>
      </c>
      <c r="X54" t="s">
        <v>258</v>
      </c>
      <c r="Z54" t="s">
        <v>259</v>
      </c>
      <c r="AA54" t="s">
        <v>260</v>
      </c>
      <c r="AB54" t="s">
        <v>261</v>
      </c>
      <c r="AC54" t="s">
        <v>187</v>
      </c>
    </row>
    <row r="55" spans="3:29">
      <c r="C55" t="s">
        <v>420</v>
      </c>
      <c r="J55" t="s">
        <v>188</v>
      </c>
      <c r="K55" t="s">
        <v>189</v>
      </c>
      <c r="L55" t="s">
        <v>190</v>
      </c>
      <c r="M55" t="s">
        <v>191</v>
      </c>
      <c r="N55" t="s">
        <v>234</v>
      </c>
      <c r="P55" t="s">
        <v>192</v>
      </c>
      <c r="Q55" t="s">
        <v>235</v>
      </c>
      <c r="R55" t="s">
        <v>202</v>
      </c>
      <c r="S55" t="s">
        <v>131</v>
      </c>
      <c r="W55" t="s">
        <v>203</v>
      </c>
      <c r="X55" t="s">
        <v>204</v>
      </c>
      <c r="Z55" t="s">
        <v>205</v>
      </c>
      <c r="AA55" t="s">
        <v>206</v>
      </c>
      <c r="AB55" t="s">
        <v>207</v>
      </c>
      <c r="AC55" t="s">
        <v>208</v>
      </c>
    </row>
    <row r="56" spans="3:29">
      <c r="C56" s="83" t="s">
        <v>421</v>
      </c>
    </row>
    <row r="57" spans="3:29">
      <c r="C57" t="s">
        <v>422</v>
      </c>
      <c r="J57" t="s">
        <v>209</v>
      </c>
      <c r="K57" t="s">
        <v>210</v>
      </c>
      <c r="L57" t="s">
        <v>211</v>
      </c>
      <c r="M57" t="s">
        <v>132</v>
      </c>
      <c r="N57" t="s">
        <v>133</v>
      </c>
      <c r="P57" t="s">
        <v>212</v>
      </c>
      <c r="Q57" t="s">
        <v>213</v>
      </c>
      <c r="R57" t="s">
        <v>214</v>
      </c>
      <c r="S57" t="s">
        <v>134</v>
      </c>
      <c r="W57" t="s">
        <v>215</v>
      </c>
      <c r="X57" t="s">
        <v>135</v>
      </c>
      <c r="Z57" t="s">
        <v>216</v>
      </c>
      <c r="AA57" t="s">
        <v>217</v>
      </c>
      <c r="AB57" t="s">
        <v>218</v>
      </c>
      <c r="AC57" t="s">
        <v>219</v>
      </c>
    </row>
    <row r="58" spans="3:29">
      <c r="C58" t="s">
        <v>423</v>
      </c>
      <c r="J58" t="s">
        <v>220</v>
      </c>
      <c r="K58" t="s">
        <v>221</v>
      </c>
      <c r="L58" t="s">
        <v>222</v>
      </c>
      <c r="M58" t="s">
        <v>223</v>
      </c>
      <c r="N58" t="s">
        <v>224</v>
      </c>
      <c r="P58" t="s">
        <v>225</v>
      </c>
      <c r="Q58" t="s">
        <v>239</v>
      </c>
      <c r="R58" t="s">
        <v>236</v>
      </c>
      <c r="S58" t="s">
        <v>240</v>
      </c>
      <c r="W58" t="s">
        <v>244</v>
      </c>
      <c r="X58" t="s">
        <v>245</v>
      </c>
      <c r="Z58" t="s">
        <v>246</v>
      </c>
      <c r="AA58" t="s">
        <v>247</v>
      </c>
      <c r="AB58" t="s">
        <v>248</v>
      </c>
      <c r="AC58" t="s">
        <v>249</v>
      </c>
    </row>
    <row r="59" spans="3:29">
      <c r="C59" t="s">
        <v>424</v>
      </c>
      <c r="J59" t="s">
        <v>237</v>
      </c>
      <c r="K59" t="s">
        <v>136</v>
      </c>
      <c r="L59" t="s">
        <v>238</v>
      </c>
      <c r="M59" t="s">
        <v>193</v>
      </c>
      <c r="N59" t="s">
        <v>194</v>
      </c>
      <c r="P59" t="s">
        <v>137</v>
      </c>
      <c r="Q59" t="s">
        <v>195</v>
      </c>
      <c r="R59" t="s">
        <v>138</v>
      </c>
      <c r="S59" t="s">
        <v>196</v>
      </c>
      <c r="W59" t="s">
        <v>197</v>
      </c>
      <c r="X59" t="s">
        <v>139</v>
      </c>
      <c r="Z59" t="s">
        <v>198</v>
      </c>
      <c r="AA59" t="s">
        <v>199</v>
      </c>
      <c r="AB59" t="s">
        <v>200</v>
      </c>
      <c r="AC59" t="s">
        <v>201</v>
      </c>
    </row>
  </sheetData>
  <phoneticPr fontId="2" type="noConversion"/>
  <pageMargins left="0.75" right="0.75" top="1" bottom="1" header="0.5" footer="0.5"/>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sheetPr codeName="Sheet21"/>
  <dimension ref="A1:FZ35"/>
  <sheetViews>
    <sheetView topLeftCell="BW1" zoomScale="60" zoomScaleNormal="60" workbookViewId="0">
      <selection activeCell="DH8" sqref="DH8"/>
    </sheetView>
  </sheetViews>
  <sheetFormatPr defaultRowHeight="12.75"/>
  <cols>
    <col min="1" max="1" width="6" customWidth="1"/>
    <col min="2" max="2" width="6" bestFit="1" customWidth="1"/>
    <col min="4" max="4" width="4.140625" bestFit="1" customWidth="1"/>
    <col min="5" max="5" width="6.85546875" style="4" bestFit="1" customWidth="1"/>
    <col min="6" max="6" width="7.28515625" customWidth="1"/>
    <col min="7" max="10" width="6" customWidth="1"/>
    <col min="11" max="11" width="5.42578125" bestFit="1" customWidth="1"/>
    <col min="12" max="12" width="6.85546875" bestFit="1" customWidth="1"/>
    <col min="13" max="13" width="2.140625" customWidth="1"/>
    <col min="14" max="19" width="3.5703125" customWidth="1"/>
    <col min="20" max="20" width="2.140625" customWidth="1"/>
    <col min="21" max="21" width="6.28515625" customWidth="1"/>
    <col min="22" max="24" width="4" customWidth="1"/>
    <col min="25" max="25" width="5.42578125" bestFit="1" customWidth="1"/>
    <col min="26" max="26" width="3" bestFit="1" customWidth="1"/>
    <col min="27" max="27" width="2.5703125" customWidth="1"/>
    <col min="28" max="31" width="4" customWidth="1"/>
    <col min="32" max="34" width="3.7109375" customWidth="1"/>
    <col min="35" max="38" width="5" customWidth="1"/>
    <col min="39" max="41" width="4" customWidth="1"/>
    <col min="42" max="45" width="4.7109375" customWidth="1"/>
    <col min="46" max="46" width="5.42578125" bestFit="1" customWidth="1"/>
    <col min="47" max="47" width="8" bestFit="1" customWidth="1"/>
    <col min="48" max="48" width="8" customWidth="1"/>
    <col min="49" max="49" width="4.5703125" customWidth="1"/>
    <col min="50" max="50" width="3" customWidth="1"/>
    <col min="51" max="51" width="2.7109375" customWidth="1"/>
    <col min="52" max="52" width="2.85546875" customWidth="1"/>
    <col min="53" max="53" width="3" customWidth="1"/>
    <col min="54" max="55" width="2.7109375" customWidth="1"/>
    <col min="56" max="56" width="4.140625" customWidth="1"/>
    <col min="57" max="61" width="2.7109375" customWidth="1"/>
    <col min="62" max="62" width="4.42578125" customWidth="1"/>
    <col min="63" max="63" width="9.7109375" customWidth="1"/>
    <col min="64" max="66" width="4.7109375" customWidth="1"/>
    <col min="67" max="67" width="5.42578125" bestFit="1" customWidth="1"/>
    <col min="68" max="68" width="8" bestFit="1" customWidth="1"/>
    <col min="70" max="75" width="3" customWidth="1"/>
    <col min="77" max="77" width="4.42578125" customWidth="1"/>
    <col min="78" max="81" width="3.42578125" customWidth="1"/>
    <col min="82" max="82" width="7.28515625" customWidth="1"/>
    <col min="84" max="88" width="4.85546875" customWidth="1"/>
    <col min="89" max="89" width="3.42578125" customWidth="1"/>
    <col min="91" max="91" width="4.140625" customWidth="1"/>
    <col min="92" max="92" width="5.28515625" customWidth="1"/>
    <col min="93" max="96" width="4.140625" customWidth="1"/>
    <col min="98" max="103" width="4.140625" customWidth="1"/>
    <col min="104" max="104" width="4.42578125" customWidth="1"/>
    <col min="105" max="117" width="2.7109375" customWidth="1"/>
    <col min="119" max="124" width="3" customWidth="1"/>
    <col min="126" max="131" width="3.140625" customWidth="1"/>
    <col min="133" max="133" width="3" customWidth="1"/>
    <col min="134" max="134" width="6.28515625" customWidth="1"/>
    <col min="135" max="138" width="3" customWidth="1"/>
    <col min="140" max="145" width="4.42578125" customWidth="1"/>
    <col min="147" max="152" width="3.85546875" customWidth="1"/>
    <col min="154" max="158" width="4.42578125" customWidth="1"/>
    <col min="159" max="159" width="2.28515625" customWidth="1"/>
    <col min="160" max="160" width="2.7109375" customWidth="1"/>
    <col min="161" max="166" width="3" customWidth="1"/>
    <col min="168" max="173" width="3.85546875" customWidth="1"/>
    <col min="175" max="180" width="3.42578125" customWidth="1"/>
  </cols>
  <sheetData>
    <row r="1" spans="1:182">
      <c r="A1" t="s">
        <v>461</v>
      </c>
      <c r="B1">
        <v>0</v>
      </c>
    </row>
    <row r="2" spans="1:182">
      <c r="A2" t="s">
        <v>474</v>
      </c>
      <c r="B2" s="37" t="str">
        <f ca="1">uxb_globals!B8</f>
        <v>RF02</v>
      </c>
      <c r="DO2" t="s">
        <v>540</v>
      </c>
    </row>
    <row r="3" spans="1:182">
      <c r="A3" t="s">
        <v>372</v>
      </c>
      <c r="B3" s="37" t="str">
        <f ca="1">uxb_globals!B40</f>
        <v>DEP02</v>
      </c>
      <c r="G3" s="5"/>
      <c r="H3" s="184" t="s">
        <v>153</v>
      </c>
      <c r="I3" s="5"/>
      <c r="J3" s="5"/>
      <c r="K3" s="5"/>
      <c r="N3" s="5"/>
      <c r="O3" s="6" t="s">
        <v>548</v>
      </c>
      <c r="P3" s="5"/>
      <c r="Q3" s="5"/>
      <c r="R3" s="5"/>
      <c r="U3" s="5"/>
      <c r="V3" s="184" t="s">
        <v>154</v>
      </c>
      <c r="W3" s="5"/>
      <c r="X3" s="5"/>
      <c r="Y3" s="5"/>
      <c r="AB3" s="5"/>
      <c r="AC3" s="6" t="s">
        <v>462</v>
      </c>
      <c r="AD3" s="5"/>
      <c r="AE3" s="5"/>
      <c r="AF3" s="5"/>
      <c r="AI3" s="5"/>
      <c r="AJ3" s="6" t="s">
        <v>458</v>
      </c>
      <c r="AK3" s="5"/>
      <c r="AL3" s="5"/>
      <c r="AM3" s="5"/>
      <c r="AP3" s="5"/>
      <c r="AQ3" s="184" t="s">
        <v>155</v>
      </c>
      <c r="AR3" s="5"/>
      <c r="AS3" s="5"/>
      <c r="AT3" s="5"/>
      <c r="AU3" s="5"/>
      <c r="AV3" s="95"/>
      <c r="AW3" s="5"/>
      <c r="AX3" s="6" t="s">
        <v>544</v>
      </c>
      <c r="AY3" s="5"/>
      <c r="AZ3" s="5"/>
      <c r="BA3" s="5"/>
      <c r="BB3" s="5"/>
      <c r="BC3" s="95"/>
      <c r="BD3" s="95"/>
      <c r="BE3" s="95"/>
      <c r="BF3" s="95"/>
      <c r="BG3" s="95"/>
      <c r="BH3" s="95"/>
      <c r="BI3" s="95"/>
      <c r="BJ3" s="95"/>
      <c r="BK3" s="5"/>
      <c r="BL3" s="184" t="s">
        <v>156</v>
      </c>
      <c r="BM3" s="5"/>
      <c r="BN3" s="5"/>
      <c r="BO3" s="5"/>
      <c r="BP3" s="5"/>
      <c r="BR3" s="5"/>
      <c r="BS3" s="6" t="s">
        <v>545</v>
      </c>
      <c r="BT3" s="5"/>
      <c r="BU3" s="5"/>
      <c r="BV3" s="5"/>
      <c r="BW3" s="5"/>
      <c r="BY3" s="5"/>
      <c r="BZ3" s="184" t="s">
        <v>157</v>
      </c>
      <c r="CA3" s="5"/>
      <c r="CB3" s="5"/>
      <c r="CC3" s="5"/>
      <c r="CD3" s="5"/>
      <c r="CF3" s="5"/>
      <c r="CG3" s="184" t="s">
        <v>158</v>
      </c>
      <c r="CH3" s="5"/>
      <c r="CI3" s="5"/>
      <c r="CJ3" s="5"/>
      <c r="CK3" s="5"/>
      <c r="CM3" s="5"/>
      <c r="CN3" s="184" t="s">
        <v>159</v>
      </c>
      <c r="CO3" s="5"/>
      <c r="CP3" s="5"/>
      <c r="CQ3" s="5"/>
      <c r="CR3" s="5"/>
      <c r="CT3" s="5"/>
      <c r="CU3" s="184" t="s">
        <v>161</v>
      </c>
      <c r="CV3" s="5"/>
      <c r="CW3" s="5"/>
      <c r="CX3" s="5"/>
      <c r="CY3" s="5"/>
      <c r="DA3" s="5"/>
      <c r="DB3" s="184" t="s">
        <v>162</v>
      </c>
      <c r="DC3" s="5"/>
      <c r="DD3" s="5"/>
      <c r="DE3" s="5"/>
      <c r="DF3" s="5"/>
      <c r="DH3" s="5"/>
      <c r="DI3" s="184" t="s">
        <v>163</v>
      </c>
      <c r="DJ3" s="5"/>
      <c r="DK3" s="5"/>
      <c r="DL3" s="5"/>
      <c r="DM3" s="5"/>
      <c r="EJ3" s="5"/>
      <c r="EK3" s="6" t="s">
        <v>546</v>
      </c>
      <c r="EL3" s="5"/>
      <c r="EM3" s="5"/>
      <c r="EN3" s="5"/>
      <c r="EO3" s="5"/>
      <c r="EQ3" s="5"/>
      <c r="ER3" s="6" t="s">
        <v>547</v>
      </c>
      <c r="ES3" s="5"/>
      <c r="ET3" s="5"/>
      <c r="EU3" s="5"/>
      <c r="EV3" s="5"/>
    </row>
    <row r="5" spans="1:182">
      <c r="G5" t="s">
        <v>483</v>
      </c>
      <c r="H5" t="s">
        <v>425</v>
      </c>
      <c r="I5" t="s">
        <v>426</v>
      </c>
      <c r="J5" t="s">
        <v>427</v>
      </c>
      <c r="K5" t="str">
        <f>B2</f>
        <v>RF02</v>
      </c>
      <c r="L5" t="str">
        <f>B3</f>
        <v>DEP02</v>
      </c>
      <c r="N5" t="str">
        <f>G5</f>
        <v>OVERALL00</v>
      </c>
      <c r="O5" t="str">
        <f t="shared" ref="O5:S6" si="0">H5</f>
        <v>RF00</v>
      </c>
      <c r="P5" t="str">
        <f t="shared" si="0"/>
        <v>IC00</v>
      </c>
      <c r="Q5" t="str">
        <f t="shared" si="0"/>
        <v>ID00</v>
      </c>
      <c r="R5" t="str">
        <f t="shared" si="0"/>
        <v>RF02</v>
      </c>
      <c r="S5" t="str">
        <f t="shared" si="0"/>
        <v>DEP02</v>
      </c>
      <c r="U5" t="str">
        <f t="shared" ref="U5:Z5" si="1">G5</f>
        <v>OVERALL00</v>
      </c>
      <c r="V5" t="str">
        <f t="shared" si="1"/>
        <v>RF00</v>
      </c>
      <c r="W5" t="str">
        <f t="shared" si="1"/>
        <v>IC00</v>
      </c>
      <c r="X5" t="str">
        <f t="shared" si="1"/>
        <v>ID00</v>
      </c>
      <c r="Y5" t="str">
        <f t="shared" si="1"/>
        <v>RF02</v>
      </c>
      <c r="Z5" t="str">
        <f t="shared" si="1"/>
        <v>DEP02</v>
      </c>
      <c r="AB5" t="str">
        <f t="shared" ref="AB5:AG5" si="2">U5</f>
        <v>OVERALL00</v>
      </c>
      <c r="AC5" t="str">
        <f t="shared" si="2"/>
        <v>RF00</v>
      </c>
      <c r="AD5" t="str">
        <f t="shared" si="2"/>
        <v>IC00</v>
      </c>
      <c r="AE5" t="str">
        <f t="shared" si="2"/>
        <v>ID00</v>
      </c>
      <c r="AF5" t="str">
        <f t="shared" si="2"/>
        <v>RF02</v>
      </c>
      <c r="AG5" t="str">
        <f t="shared" si="2"/>
        <v>DEP02</v>
      </c>
      <c r="AI5" t="str">
        <f t="shared" ref="AI5:AN5" si="3">AB5</f>
        <v>OVERALL00</v>
      </c>
      <c r="AJ5" t="str">
        <f t="shared" si="3"/>
        <v>RF00</v>
      </c>
      <c r="AK5" t="str">
        <f t="shared" si="3"/>
        <v>IC00</v>
      </c>
      <c r="AL5" t="str">
        <f t="shared" si="3"/>
        <v>ID00</v>
      </c>
      <c r="AM5" t="str">
        <f t="shared" si="3"/>
        <v>RF02</v>
      </c>
      <c r="AN5" t="str">
        <f t="shared" si="3"/>
        <v>DEP02</v>
      </c>
      <c r="AP5" t="str">
        <f t="shared" ref="AP5:AU5" si="4">AI5</f>
        <v>OVERALL00</v>
      </c>
      <c r="AQ5" t="str">
        <f t="shared" si="4"/>
        <v>RF00</v>
      </c>
      <c r="AR5" t="str">
        <f t="shared" si="4"/>
        <v>IC00</v>
      </c>
      <c r="AS5" t="str">
        <f t="shared" si="4"/>
        <v>ID00</v>
      </c>
      <c r="AT5" t="str">
        <f t="shared" si="4"/>
        <v>RF02</v>
      </c>
      <c r="AU5" t="str">
        <f t="shared" si="4"/>
        <v>DEP02</v>
      </c>
      <c r="AW5" t="str">
        <f t="shared" ref="AW5:BB5" si="5">AP5</f>
        <v>OVERALL00</v>
      </c>
      <c r="AX5" t="str">
        <f t="shared" si="5"/>
        <v>RF00</v>
      </c>
      <c r="AY5" t="str">
        <f t="shared" si="5"/>
        <v>IC00</v>
      </c>
      <c r="AZ5" t="str">
        <f t="shared" si="5"/>
        <v>ID00</v>
      </c>
      <c r="BA5" t="str">
        <f t="shared" si="5"/>
        <v>RF02</v>
      </c>
      <c r="BB5" t="str">
        <f t="shared" si="5"/>
        <v>DEP02</v>
      </c>
      <c r="BD5" t="str">
        <f t="shared" ref="BD5:BI5" si="6">AW5</f>
        <v>OVERALL00</v>
      </c>
      <c r="BE5" t="str">
        <f t="shared" si="6"/>
        <v>RF00</v>
      </c>
      <c r="BF5" t="str">
        <f t="shared" si="6"/>
        <v>IC00</v>
      </c>
      <c r="BG5" t="str">
        <f t="shared" si="6"/>
        <v>ID00</v>
      </c>
      <c r="BH5" t="str">
        <f t="shared" si="6"/>
        <v>RF02</v>
      </c>
      <c r="BI5" t="str">
        <f t="shared" si="6"/>
        <v>DEP02</v>
      </c>
      <c r="BK5" t="str">
        <f t="shared" ref="BK5:BP5" si="7">AP5</f>
        <v>OVERALL00</v>
      </c>
      <c r="BL5" t="str">
        <f t="shared" si="7"/>
        <v>RF00</v>
      </c>
      <c r="BM5" t="str">
        <f t="shared" si="7"/>
        <v>IC00</v>
      </c>
      <c r="BN5" t="str">
        <f t="shared" si="7"/>
        <v>ID00</v>
      </c>
      <c r="BO5" t="str">
        <f t="shared" si="7"/>
        <v>RF02</v>
      </c>
      <c r="BP5" t="str">
        <f t="shared" si="7"/>
        <v>DEP02</v>
      </c>
      <c r="BR5" t="str">
        <f t="shared" ref="BR5:BW5" si="8">BK5</f>
        <v>OVERALL00</v>
      </c>
      <c r="BS5" t="str">
        <f t="shared" si="8"/>
        <v>RF00</v>
      </c>
      <c r="BT5" t="str">
        <f t="shared" si="8"/>
        <v>IC00</v>
      </c>
      <c r="BU5" t="str">
        <f t="shared" si="8"/>
        <v>ID00</v>
      </c>
      <c r="BV5" t="str">
        <f t="shared" si="8"/>
        <v>RF02</v>
      </c>
      <c r="BW5" t="str">
        <f t="shared" si="8"/>
        <v>DEP02</v>
      </c>
      <c r="BY5" t="str">
        <f t="shared" ref="BY5:CD5" si="9">BR5</f>
        <v>OVERALL00</v>
      </c>
      <c r="BZ5" t="str">
        <f t="shared" si="9"/>
        <v>RF00</v>
      </c>
      <c r="CA5" t="str">
        <f t="shared" si="9"/>
        <v>IC00</v>
      </c>
      <c r="CB5" t="str">
        <f t="shared" si="9"/>
        <v>ID00</v>
      </c>
      <c r="CC5" t="str">
        <f t="shared" si="9"/>
        <v>RF02</v>
      </c>
      <c r="CD5" t="str">
        <f t="shared" si="9"/>
        <v>DEP02</v>
      </c>
      <c r="CF5" t="str">
        <f t="shared" ref="CF5:CK5" si="10">BY5</f>
        <v>OVERALL00</v>
      </c>
      <c r="CG5" t="str">
        <f t="shared" si="10"/>
        <v>RF00</v>
      </c>
      <c r="CH5" t="str">
        <f t="shared" si="10"/>
        <v>IC00</v>
      </c>
      <c r="CI5" t="str">
        <f t="shared" si="10"/>
        <v>ID00</v>
      </c>
      <c r="CJ5" t="str">
        <f t="shared" si="10"/>
        <v>RF02</v>
      </c>
      <c r="CK5" t="str">
        <f t="shared" si="10"/>
        <v>DEP02</v>
      </c>
      <c r="CM5" t="str">
        <f t="shared" ref="CM5:CR5" si="11">CF5</f>
        <v>OVERALL00</v>
      </c>
      <c r="CN5" t="str">
        <f t="shared" si="11"/>
        <v>RF00</v>
      </c>
      <c r="CO5" t="str">
        <f t="shared" si="11"/>
        <v>IC00</v>
      </c>
      <c r="CP5" t="str">
        <f t="shared" si="11"/>
        <v>ID00</v>
      </c>
      <c r="CQ5" t="str">
        <f t="shared" si="11"/>
        <v>RF02</v>
      </c>
      <c r="CR5" t="str">
        <f t="shared" si="11"/>
        <v>DEP02</v>
      </c>
      <c r="CT5" t="str">
        <f t="shared" ref="CT5:CY5" si="12">CM5</f>
        <v>OVERALL00</v>
      </c>
      <c r="CU5" t="str">
        <f t="shared" si="12"/>
        <v>RF00</v>
      </c>
      <c r="CV5" t="str">
        <f t="shared" si="12"/>
        <v>IC00</v>
      </c>
      <c r="CW5" t="str">
        <f t="shared" si="12"/>
        <v>ID00</v>
      </c>
      <c r="CX5" t="str">
        <f t="shared" si="12"/>
        <v>RF02</v>
      </c>
      <c r="CY5" t="str">
        <f t="shared" si="12"/>
        <v>DEP02</v>
      </c>
      <c r="DA5" t="str">
        <f>CT5</f>
        <v>OVERALL00</v>
      </c>
      <c r="DB5" t="str">
        <f t="shared" ref="DB5:DM5" si="13">CU5</f>
        <v>RF00</v>
      </c>
      <c r="DC5" t="str">
        <f t="shared" si="13"/>
        <v>IC00</v>
      </c>
      <c r="DD5" t="str">
        <f t="shared" si="13"/>
        <v>ID00</v>
      </c>
      <c r="DE5" t="str">
        <f t="shared" si="13"/>
        <v>RF02</v>
      </c>
      <c r="DF5" t="str">
        <f t="shared" si="13"/>
        <v>DEP02</v>
      </c>
      <c r="DH5" t="str">
        <f t="shared" si="13"/>
        <v>OVERALL00</v>
      </c>
      <c r="DI5" t="str">
        <f t="shared" si="13"/>
        <v>RF00</v>
      </c>
      <c r="DJ5" t="str">
        <f t="shared" si="13"/>
        <v>IC00</v>
      </c>
      <c r="DK5" t="str">
        <f t="shared" si="13"/>
        <v>ID00</v>
      </c>
      <c r="DL5" t="str">
        <f t="shared" si="13"/>
        <v>RF02</v>
      </c>
      <c r="DM5" t="str">
        <f t="shared" si="13"/>
        <v>DEP02</v>
      </c>
      <c r="DO5" t="str">
        <f t="shared" ref="DO5:DT5" si="14">DH5</f>
        <v>OVERALL00</v>
      </c>
      <c r="DP5" t="str">
        <f t="shared" si="14"/>
        <v>RF00</v>
      </c>
      <c r="DQ5" t="str">
        <f t="shared" si="14"/>
        <v>IC00</v>
      </c>
      <c r="DR5" t="str">
        <f t="shared" si="14"/>
        <v>ID00</v>
      </c>
      <c r="DS5" t="str">
        <f t="shared" si="14"/>
        <v>RF02</v>
      </c>
      <c r="DT5" t="str">
        <f t="shared" si="14"/>
        <v>DEP02</v>
      </c>
      <c r="DV5" t="str">
        <f t="shared" ref="DV5:EA5" si="15">DO5</f>
        <v>OVERALL00</v>
      </c>
      <c r="DW5" t="str">
        <f t="shared" si="15"/>
        <v>RF00</v>
      </c>
      <c r="DX5" t="str">
        <f t="shared" si="15"/>
        <v>IC00</v>
      </c>
      <c r="DY5" t="str">
        <f t="shared" si="15"/>
        <v>ID00</v>
      </c>
      <c r="DZ5" t="str">
        <f t="shared" si="15"/>
        <v>RF02</v>
      </c>
      <c r="EA5" t="str">
        <f t="shared" si="15"/>
        <v>DEP02</v>
      </c>
      <c r="EC5" t="str">
        <f t="shared" ref="EC5:EH5" si="16">DV5</f>
        <v>OVERALL00</v>
      </c>
      <c r="ED5" t="str">
        <f t="shared" si="16"/>
        <v>RF00</v>
      </c>
      <c r="EE5" t="str">
        <f t="shared" si="16"/>
        <v>IC00</v>
      </c>
      <c r="EF5" t="str">
        <f t="shared" si="16"/>
        <v>ID00</v>
      </c>
      <c r="EG5" t="str">
        <f t="shared" si="16"/>
        <v>RF02</v>
      </c>
      <c r="EH5" t="str">
        <f t="shared" si="16"/>
        <v>DEP02</v>
      </c>
      <c r="EJ5" t="str">
        <f>EC5</f>
        <v>OVERALL00</v>
      </c>
      <c r="EK5" t="str">
        <f t="shared" ref="EK5:EP5" si="17">ED5</f>
        <v>RF00</v>
      </c>
      <c r="EL5" t="str">
        <f t="shared" si="17"/>
        <v>IC00</v>
      </c>
      <c r="EM5" t="str">
        <f t="shared" si="17"/>
        <v>ID00</v>
      </c>
      <c r="EN5" t="str">
        <f t="shared" si="17"/>
        <v>RF02</v>
      </c>
      <c r="EO5" t="str">
        <f t="shared" si="17"/>
        <v>DEP02</v>
      </c>
      <c r="EP5">
        <f t="shared" si="17"/>
        <v>0</v>
      </c>
      <c r="EQ5" t="str">
        <f t="shared" ref="EQ5:EV5" si="18">EJ5</f>
        <v>OVERALL00</v>
      </c>
      <c r="ER5" t="str">
        <f t="shared" si="18"/>
        <v>RF00</v>
      </c>
      <c r="ES5" t="str">
        <f t="shared" si="18"/>
        <v>IC00</v>
      </c>
      <c r="ET5" t="str">
        <f t="shared" si="18"/>
        <v>ID00</v>
      </c>
      <c r="EU5" t="str">
        <f t="shared" si="18"/>
        <v>RF02</v>
      </c>
      <c r="EV5" t="str">
        <f t="shared" si="18"/>
        <v>DEP02</v>
      </c>
      <c r="EX5" t="str">
        <f t="shared" ref="EX5:FD5" si="19">EJ5</f>
        <v>OVERALL00</v>
      </c>
      <c r="EY5" t="str">
        <f t="shared" si="19"/>
        <v>RF00</v>
      </c>
      <c r="EZ5" t="str">
        <f t="shared" si="19"/>
        <v>IC00</v>
      </c>
      <c r="FA5" t="str">
        <f t="shared" si="19"/>
        <v>ID00</v>
      </c>
      <c r="FB5" t="str">
        <f t="shared" si="19"/>
        <v>RF02</v>
      </c>
      <c r="FC5" t="str">
        <f t="shared" si="19"/>
        <v>DEP02</v>
      </c>
      <c r="FD5">
        <f t="shared" si="19"/>
        <v>0</v>
      </c>
      <c r="FE5" t="str">
        <f t="shared" ref="FE5:FX5" si="20">EX5</f>
        <v>OVERALL00</v>
      </c>
      <c r="FF5" t="str">
        <f t="shared" si="20"/>
        <v>RF00</v>
      </c>
      <c r="FG5" t="str">
        <f t="shared" si="20"/>
        <v>IC00</v>
      </c>
      <c r="FH5" t="str">
        <f t="shared" si="20"/>
        <v>ID00</v>
      </c>
      <c r="FI5" t="str">
        <f t="shared" si="20"/>
        <v>RF02</v>
      </c>
      <c r="FJ5" t="str">
        <f t="shared" si="20"/>
        <v>DEP02</v>
      </c>
      <c r="FK5">
        <f t="shared" si="20"/>
        <v>0</v>
      </c>
      <c r="FL5" t="str">
        <f t="shared" si="20"/>
        <v>OVERALL00</v>
      </c>
      <c r="FM5" t="str">
        <f t="shared" si="20"/>
        <v>RF00</v>
      </c>
      <c r="FN5" t="str">
        <f t="shared" si="20"/>
        <v>IC00</v>
      </c>
      <c r="FO5" t="str">
        <f t="shared" si="20"/>
        <v>ID00</v>
      </c>
      <c r="FP5" t="str">
        <f t="shared" si="20"/>
        <v>RF02</v>
      </c>
      <c r="FQ5" t="str">
        <f t="shared" si="20"/>
        <v>DEP02</v>
      </c>
      <c r="FR5">
        <f t="shared" si="20"/>
        <v>0</v>
      </c>
      <c r="FS5" t="str">
        <f t="shared" si="20"/>
        <v>OVERALL00</v>
      </c>
      <c r="FT5" t="str">
        <f t="shared" si="20"/>
        <v>RF00</v>
      </c>
      <c r="FU5" t="str">
        <f t="shared" si="20"/>
        <v>IC00</v>
      </c>
      <c r="FV5" t="str">
        <f t="shared" si="20"/>
        <v>ID00</v>
      </c>
      <c r="FW5" t="str">
        <f t="shared" si="20"/>
        <v>RF02</v>
      </c>
      <c r="FX5" t="str">
        <f t="shared" si="20"/>
        <v>DEP02</v>
      </c>
    </row>
    <row r="6" spans="1:182">
      <c r="G6">
        <f ca="1">MATCH(G5,uxb_scores_2007!$A$3:$A$8,0)</f>
        <v>1</v>
      </c>
      <c r="H6">
        <f ca="1">MATCH(H5,uxb_scores_2007!$A$3:$A$8,0)</f>
        <v>2</v>
      </c>
      <c r="I6">
        <f ca="1">MATCH(I5,uxb_scores_2007!$A$3:$A$8,0)</f>
        <v>3</v>
      </c>
      <c r="J6">
        <f ca="1">MATCH(J5,uxb_scores_2007!$A$3:$A$8,0)</f>
        <v>4</v>
      </c>
      <c r="K6">
        <f ca="1">MATCH(K5,uxb_scores_2007!$A$3:$A$60,0)</f>
        <v>11</v>
      </c>
      <c r="L6">
        <f ca="1">MATCH(L5,uxb_scores_2007!$A$3:$A$60,0)</f>
        <v>28</v>
      </c>
      <c r="N6">
        <f>G6</f>
        <v>1</v>
      </c>
      <c r="O6">
        <f t="shared" si="0"/>
        <v>2</v>
      </c>
      <c r="P6">
        <f t="shared" si="0"/>
        <v>3</v>
      </c>
      <c r="Q6">
        <f t="shared" si="0"/>
        <v>4</v>
      </c>
      <c r="R6">
        <f t="shared" si="0"/>
        <v>11</v>
      </c>
      <c r="S6">
        <f t="shared" si="0"/>
        <v>28</v>
      </c>
    </row>
    <row r="7" spans="1:182">
      <c r="A7" t="s">
        <v>456</v>
      </c>
      <c r="B7" t="s">
        <v>457</v>
      </c>
      <c r="C7" t="s">
        <v>458</v>
      </c>
      <c r="D7" t="s">
        <v>459</v>
      </c>
      <c r="E7" s="4" t="s">
        <v>460</v>
      </c>
    </row>
    <row r="8" spans="1:182">
      <c r="A8">
        <v>1</v>
      </c>
      <c r="B8">
        <f ca="1">uxb_countries!D3</f>
        <v>1</v>
      </c>
      <c r="C8" t="str">
        <f ca="1">uxb_countries!B3</f>
        <v>Argentina</v>
      </c>
      <c r="D8" t="str">
        <f ca="1">uxb_countries!A3</f>
        <v>AR</v>
      </c>
      <c r="E8" s="4">
        <f ca="1">MATCH(D8,uxb_scores_2007!$J$2:$AC$2,0)</f>
        <v>1</v>
      </c>
      <c r="G8" s="3">
        <f ca="1">IF($B8=0,"",ROUND(OFFSET(uxb_scores_2008!$I$2,G$6,$E8),2))</f>
        <v>28.5</v>
      </c>
      <c r="H8" s="3">
        <f ca="1">IF($B8=0,"",ROUND(OFFSET(uxb_scores_2008!$I$2,H$6,$E8),2))</f>
        <v>18.75</v>
      </c>
      <c r="I8" s="3">
        <f ca="1">IF($B8=0,"",ROUND(OFFSET(uxb_scores_2008!$I$2,I$6,$E8),2))</f>
        <v>38.33</v>
      </c>
      <c r="J8" s="3">
        <f ca="1">IF($B8=0,"",ROUND(OFFSET(uxb_scores_2008!$I$2,J$6,$E8),2))</f>
        <v>33.33</v>
      </c>
      <c r="K8" s="3">
        <f ca="1">IF($B8=0,"",ROUND(OFFSET(uxb_scores_2008!$I$2,K$6,$E8),2))</f>
        <v>1</v>
      </c>
      <c r="L8">
        <f ca="1">IF($B8=0,"",ROUND(OFFSET(uxb_scores_2008!$I$2,L$6,$E8),4))</f>
        <v>2.8E-3</v>
      </c>
      <c r="N8">
        <f ca="1">IF($B8=0,"",ROUND(OFFSET(uxb_scores_2007!$I$2,G$6,$E8),2))</f>
        <v>26.83</v>
      </c>
      <c r="O8">
        <f ca="1">IF($B8=0,"",ROUND(OFFSET(uxb_scores_2007!$I$2,H$6,$E8),2))</f>
        <v>18.75</v>
      </c>
      <c r="P8">
        <f ca="1">IF($B8=0,"",ROUND(OFFSET(uxb_scores_2007!$I$2,I$6,$E8),2))</f>
        <v>46.67</v>
      </c>
      <c r="Q8">
        <f ca="1">IF($B8=0,"",ROUND(OFFSET(uxb_scores_2007!$I$2,J$6,$E8),2))</f>
        <v>25</v>
      </c>
      <c r="R8">
        <f ca="1">IF($B8=0,"",ROUND(OFFSET(uxb_scores_2007!$I$2,K$6,$E8),2))</f>
        <v>1</v>
      </c>
      <c r="S8">
        <f ca="1">IF($B8=0,"",ROUND(OFFSET(uxb_scores_2007!$I$2,L$6,$E8),2))</f>
        <v>0</v>
      </c>
      <c r="U8">
        <f ca="1">IF($B8=1,RANK(G8,G$8:G$25,$B$1)+COUNTIF(G$8:G8,G8)-1,"")</f>
        <v>13</v>
      </c>
      <c r="V8">
        <f ca="1">IF($B8=1,RANK(H8,H$8:H$25,$B$1)+COUNTIF(H$8:H8,H8)-1,"")</f>
        <v>15</v>
      </c>
      <c r="W8">
        <f ca="1">IF($B8=1,RANK(I8,I$8:I$25,$B$1)+COUNTIF(I$8:I8,I8)-1,"")</f>
        <v>14</v>
      </c>
      <c r="X8">
        <f ca="1">IF($B8=1,RANK(J8,J$8:J$25,$B$1)+COUNTIF(J$8:J8,J8)-1,"")</f>
        <v>10</v>
      </c>
      <c r="Y8">
        <f ca="1">IF($B8=1,RANK(K8,K$8:K$25,$B$1)+COUNTIF(K$8:K8,K8)-1,"")</f>
        <v>11</v>
      </c>
      <c r="Z8">
        <f ca="1">IF($B8=1,RANK(L8,L$8:L$25,$B$1)+COUNTIF(L$8:L8,L8)-1,"")</f>
        <v>15</v>
      </c>
      <c r="AB8">
        <f t="shared" ref="AB8:AB22" ca="1" si="21">IF(ISERROR(MATCH($A8,U$8:U$25,0)),0,MATCH($A8,U$8:U$25,0))</f>
        <v>13</v>
      </c>
      <c r="AC8">
        <f t="shared" ref="AC8:AC22" ca="1" si="22">IF(ISERROR(MATCH($A8,V$8:V$25,0)),0,MATCH($A8,V$8:V$25,0))</f>
        <v>2</v>
      </c>
      <c r="AD8">
        <f t="shared" ref="AD8:AD22" ca="1" si="23">IF(ISERROR(MATCH($A8,W$8:W$25,0)),0,MATCH($A8,W$8:W$25,0))</f>
        <v>4</v>
      </c>
      <c r="AE8">
        <f t="shared" ref="AE8:AE22" ca="1" si="24">IF(ISERROR(MATCH($A8,X$8:X$25,0)),0,MATCH($A8,X$8:X$25,0))</f>
        <v>7</v>
      </c>
      <c r="AF8">
        <f t="shared" ref="AF8:AF22" ca="1" si="25">IF(ISERROR(MATCH($A8,Y$8:Y$25,0)),0,MATCH($A8,Y$8:Y$25,0))</f>
        <v>13</v>
      </c>
      <c r="AG8">
        <f t="shared" ref="AG8:AG22" ca="1" si="26">IF(ISERROR(MATCH($A8,Z$8:Z$25,0)),0,MATCH($A8,Z$8:Z$25,0))</f>
        <v>11</v>
      </c>
      <c r="AI8" t="str">
        <f t="shared" ref="AI8:AI22" ca="1" si="27">IF(AB8=0,"",INDEX($C$8:$C$25,AB8))</f>
        <v>Peru</v>
      </c>
      <c r="AJ8" t="str">
        <f t="shared" ref="AJ8:AJ22" ca="1" si="28">IF(AC8=0,"",INDEX($C$8:$C$25,AC8))</f>
        <v>Bolivia</v>
      </c>
      <c r="AK8" t="str">
        <f t="shared" ref="AK8:AK22" ca="1" si="29">IF(AD8=0,"",INDEX($C$8:$C$25,AD8))</f>
        <v>Chile</v>
      </c>
      <c r="AL8" t="str">
        <f t="shared" ref="AL8:AL22" ca="1" si="30">IF(AE8=0,"",INDEX($C$8:$C$25,AE8))</f>
        <v>Ecuador</v>
      </c>
      <c r="AM8" t="str">
        <f t="shared" ref="AM8:AM22" ca="1" si="31">IF(AF8=0,"",INDEX($C$8:$C$25,AF8))</f>
        <v>Peru</v>
      </c>
      <c r="AN8" t="str">
        <f t="shared" ref="AN8:AN22" ca="1" si="32">IF(AG8=0,"",INDEX($C$8:$C$25,AG8))</f>
        <v>Nicaragua</v>
      </c>
      <c r="AP8">
        <f t="shared" ref="AP8:AP22" ca="1" si="33">IF(AI8=0,"",ROUND(INDEX(G$8:G$25,AB8),1))</f>
        <v>76.599999999999994</v>
      </c>
      <c r="AQ8">
        <f t="shared" ref="AQ8:AQ22" ca="1" si="34">IF(AJ8=0,"",ROUND(INDEX(H$8:H$25,AC8),1))</f>
        <v>87.5</v>
      </c>
      <c r="AR8">
        <f t="shared" ref="AR8:AR22" ca="1" si="35">IF(AK8=0,"",ROUND(INDEX(I$8:I$25,AD8),1))</f>
        <v>74.2</v>
      </c>
      <c r="AS8">
        <f t="shared" ref="AS8:AS22" ca="1" si="36">IF(AL8=0,"",ROUND(INDEX(J$8:J$25,AE8),1))</f>
        <v>83.3</v>
      </c>
      <c r="AT8">
        <f t="shared" ref="AT8:AT22" ca="1" si="37">IF(AM8=0,"",ROUND(INDEX(K$8:K$25,AF8),1))</f>
        <v>4</v>
      </c>
      <c r="AU8" s="203">
        <f t="shared" ref="AU8:AU22" ca="1" si="38">IF(AN8=0,"",ROUND(INDEX(L$8:L$25,AG8),4))</f>
        <v>0.58350000000000002</v>
      </c>
      <c r="AV8" s="203"/>
      <c r="AW8" s="206">
        <f t="shared" ref="AW8:AW22" ca="1" si="39">RANK(AP8,AP$8:AP$22)</f>
        <v>1</v>
      </c>
      <c r="AX8" s="206">
        <f t="shared" ref="AX8:AX22" ca="1" si="40">RANK(AQ8,AQ$8:AQ$22)</f>
        <v>1</v>
      </c>
      <c r="AY8" s="206">
        <f t="shared" ref="AY8:AY22" ca="1" si="41">RANK(AR8,AR$8:AR$22)</f>
        <v>1</v>
      </c>
      <c r="AZ8" s="206">
        <f t="shared" ref="AZ8:AZ22" ca="1" si="42">RANK(AS8,AS$8:AS$22)</f>
        <v>1</v>
      </c>
      <c r="BA8" s="206">
        <f t="shared" ref="BA8:BA22" ca="1" si="43">RANK(AT8,AT$8:AT$22)</f>
        <v>1</v>
      </c>
      <c r="BB8" s="206">
        <f t="shared" ref="BB8:BB22" ca="1" si="44">RANK(AU8,AU$8:AU$22)</f>
        <v>1</v>
      </c>
      <c r="BC8" s="206"/>
      <c r="BD8" s="206">
        <f t="shared" ref="BD8:BI8" ca="1" si="45">AW8</f>
        <v>1</v>
      </c>
      <c r="BE8" s="206">
        <f t="shared" ca="1" si="45"/>
        <v>1</v>
      </c>
      <c r="BF8" s="206">
        <f t="shared" ca="1" si="45"/>
        <v>1</v>
      </c>
      <c r="BG8" s="206">
        <f t="shared" ca="1" si="45"/>
        <v>1</v>
      </c>
      <c r="BH8" s="206">
        <f t="shared" ca="1" si="45"/>
        <v>1</v>
      </c>
      <c r="BI8" s="206">
        <f t="shared" ca="1" si="45"/>
        <v>1</v>
      </c>
      <c r="BK8">
        <f t="shared" ref="BK8:BP8" ca="1" si="46">IF(AP8=0,"",IF(AP8="","",ROUND(INDEX(N$8:N$30,AB8),1)))</f>
        <v>74.099999999999994</v>
      </c>
      <c r="BL8">
        <f t="shared" ca="1" si="46"/>
        <v>100</v>
      </c>
      <c r="BM8">
        <f t="shared" ca="1" si="46"/>
        <v>75</v>
      </c>
      <c r="BN8">
        <f t="shared" ca="1" si="46"/>
        <v>75</v>
      </c>
      <c r="BO8">
        <f t="shared" ca="1" si="46"/>
        <v>3</v>
      </c>
      <c r="BP8">
        <f t="shared" ca="1" si="46"/>
        <v>0.6</v>
      </c>
      <c r="BR8">
        <f t="shared" ref="BR8:BR22" ca="1" si="47">IF($B8=1,RANK(BK8,BK$8:BK$25,$B$1),"")</f>
        <v>2</v>
      </c>
      <c r="BS8">
        <f t="shared" ref="BS8:BS22" ca="1" si="48">IF($B8=1,RANK(BL8,BL$8:BL$25,$B$1),"")</f>
        <v>1</v>
      </c>
      <c r="BT8">
        <f t="shared" ref="BT8:BT22" ca="1" si="49">IF($B8=1,RANK(BM8,BM$8:BM$25,$B$1),"")</f>
        <v>1</v>
      </c>
      <c r="BU8">
        <f t="shared" ref="BU8:BU22" ca="1" si="50">IF($B8=1,RANK(BN8,BN$8:BN$25,$B$1),"")</f>
        <v>1</v>
      </c>
      <c r="BV8">
        <f t="shared" ref="BV8:BV22" ca="1" si="51">IF($B8=1,RANK(BO8,BO$8:BO$25,$B$1),"")</f>
        <v>2</v>
      </c>
      <c r="BW8">
        <f t="shared" ref="BW8:BW22" ca="1" si="52">IF($B8=1,RANK(BP8,BP$8:BP$25,$B$1),"")</f>
        <v>1</v>
      </c>
      <c r="BY8">
        <f t="shared" ref="BY8:CD22" ca="1" si="53">IF(BK8=-1,"new",ROUND(AP8-BK8,1))</f>
        <v>2.5</v>
      </c>
      <c r="BZ8">
        <f t="shared" ca="1" si="53"/>
        <v>-12.5</v>
      </c>
      <c r="CA8">
        <f t="shared" ca="1" si="53"/>
        <v>-0.8</v>
      </c>
      <c r="CB8">
        <f t="shared" ca="1" si="53"/>
        <v>8.3000000000000007</v>
      </c>
      <c r="CC8">
        <f t="shared" ca="1" si="53"/>
        <v>1</v>
      </c>
      <c r="CD8">
        <f t="shared" ca="1" si="53"/>
        <v>0</v>
      </c>
      <c r="CF8" s="206">
        <f t="shared" ref="CF8:CK18" ca="1" si="54">BR8-AW8</f>
        <v>1</v>
      </c>
      <c r="CG8" s="206">
        <f t="shared" ca="1" si="54"/>
        <v>0</v>
      </c>
      <c r="CH8" s="206">
        <f t="shared" ca="1" si="54"/>
        <v>0</v>
      </c>
      <c r="CI8" s="206">
        <f t="shared" ca="1" si="54"/>
        <v>0</v>
      </c>
      <c r="CJ8" s="206">
        <f t="shared" ca="1" si="54"/>
        <v>1</v>
      </c>
      <c r="CK8" s="206">
        <f t="shared" ca="1" si="54"/>
        <v>0</v>
      </c>
      <c r="CM8" t="str">
        <f t="shared" ref="CM8:CM22" ca="1" si="55">IF(BK8=-1,"",IF(BY8=0,"-",IF(BY8&gt;0,CONCATENATE("+",TEXT(BY8,"0.0")),CONCATENATE("-",TEXT(ABS(BY8),"0.0")))))</f>
        <v>+2.5</v>
      </c>
      <c r="CN8" t="str">
        <f t="shared" ref="CN8:CP18" ca="1" si="56">IF(BL8=-1,"",IF(BZ8=0,"-",IF(BZ8&gt;0,CONCATENATE("+",TEXT(BZ8,"0.0")),CONCATENATE("-",TEXT(ABS(BZ8),"0.0")))))</f>
        <v>-12.5</v>
      </c>
      <c r="CO8" t="str">
        <f t="shared" ca="1" si="56"/>
        <v>-0.8</v>
      </c>
      <c r="CP8" t="str">
        <f t="shared" ca="1" si="56"/>
        <v>+8.3</v>
      </c>
      <c r="CQ8" t="str">
        <f ca="1">IF(BO8=-1,"new",IF(CC8=0,"-",IF(CC8&gt;0,CONCATENATE("+",TEXT(CC8,"0.0")),CONCATENATE("-",TEXT(ABS(CC8),"0.0")))))</f>
        <v>+1.0</v>
      </c>
      <c r="CR8" t="str">
        <f ca="1">IF(BP8=-1,"",IF(CD8=0,"-",IF(CD8&gt;0,CONCATENATE("+",CD8),CONCATENATE("-",ABS(CD8)))))</f>
        <v>-</v>
      </c>
      <c r="CT8">
        <f t="shared" ref="CT8:CT22" ca="1" si="57">IF(BK8=-1,0,IF(BY8=0,0,IF(BY8&gt;0,1,-1)))</f>
        <v>1</v>
      </c>
      <c r="CU8">
        <f t="shared" ref="CU8:CY18" ca="1" si="58">IF(BL8=-1,0,IF(BZ8=0,0,IF(BZ8&gt;0,1,-1)))</f>
        <v>-1</v>
      </c>
      <c r="CV8">
        <f t="shared" ca="1" si="58"/>
        <v>-1</v>
      </c>
      <c r="CW8">
        <f t="shared" ca="1" si="58"/>
        <v>1</v>
      </c>
      <c r="CX8">
        <f t="shared" ca="1" si="58"/>
        <v>1</v>
      </c>
      <c r="CY8">
        <f t="shared" ca="1" si="58"/>
        <v>0</v>
      </c>
      <c r="DA8" t="str">
        <f t="shared" ref="DA8:DF18" ca="1" si="59">IF(BK8=-1,"new",IF(CF8=0,"-",IF(CF8&gt;0,CONCATENATE("+",CF8),CONCATENATE("-",ABS(CF8)))))</f>
        <v>+1</v>
      </c>
      <c r="DB8" t="str">
        <f t="shared" ca="1" si="59"/>
        <v>-</v>
      </c>
      <c r="DC8" t="str">
        <f t="shared" ca="1" si="59"/>
        <v>-</v>
      </c>
      <c r="DD8" t="str">
        <f t="shared" ca="1" si="59"/>
        <v>-</v>
      </c>
      <c r="DE8" t="str">
        <f t="shared" ca="1" si="59"/>
        <v>+1</v>
      </c>
      <c r="DF8" t="str">
        <f t="shared" ca="1" si="59"/>
        <v>-</v>
      </c>
      <c r="DH8">
        <f t="shared" ref="DH8:DM18" ca="1" si="60">IF(BK8=-1,0,IF(CF8=0,0,IF(CF8&gt;0,1,-1)))</f>
        <v>1</v>
      </c>
      <c r="DI8">
        <f t="shared" ca="1" si="60"/>
        <v>0</v>
      </c>
      <c r="DJ8">
        <f t="shared" ca="1" si="60"/>
        <v>0</v>
      </c>
      <c r="DK8">
        <f t="shared" ca="1" si="60"/>
        <v>0</v>
      </c>
      <c r="DL8">
        <f t="shared" ca="1" si="60"/>
        <v>1</v>
      </c>
      <c r="DM8">
        <f t="shared" ca="1" si="60"/>
        <v>0</v>
      </c>
      <c r="DO8">
        <f ca="1">RANK(BY8,BY$8:BY$22)+COUNTIF(BY8:BY$22,BY8)-1</f>
        <v>4</v>
      </c>
      <c r="DP8">
        <f ca="1">RANK(BZ8,BZ$8:BZ$22)+COUNTIF(BZ8:BZ$22,BZ8)-1</f>
        <v>15</v>
      </c>
      <c r="DQ8">
        <f ca="1">RANK(CA8,CA$8:CA$22)+COUNTIF(CA8:CA$22,CA8)-1</f>
        <v>11</v>
      </c>
      <c r="DR8">
        <f ca="1">RANK(CB8,CB$8:CB$22)+COUNTIF(CB8:CB$22,CB8)-1</f>
        <v>5</v>
      </c>
      <c r="DS8">
        <f ca="1">RANK(CC8,CC$8:CC$22)+COUNTIF(CC8:CC$22,CC8)-1</f>
        <v>3</v>
      </c>
      <c r="DT8">
        <f ca="1">RANK(CD8,CD$8:CD$22)+COUNTIF(CD8:CD$22,CD8)-1</f>
        <v>15</v>
      </c>
      <c r="DV8">
        <f t="shared" ref="DV8:DV22" ca="1" si="61">IF(ISERROR(MATCH($A8,DO$8:DO$25,0)),0,MATCH($A8,DO$8:DO$25,0))</f>
        <v>5</v>
      </c>
      <c r="DW8">
        <f t="shared" ref="DW8:DW22" ca="1" si="62">IF(ISERROR(MATCH($A8,DP$8:DP$25,0)),0,MATCH($A8,DP$8:DP$25,0))</f>
        <v>4</v>
      </c>
      <c r="DX8">
        <f t="shared" ref="DX8:DX22" ca="1" si="63">IF(ISERROR(MATCH($A8,DQ$8:DQ$25,0)),0,MATCH($A8,DQ$8:DQ$25,0))</f>
        <v>5</v>
      </c>
      <c r="DY8">
        <f t="shared" ref="DY8:DY22" ca="1" si="64">IF(ISERROR(MATCH($A8,DR$8:DR$25,0)),0,MATCH($A8,DR$8:DR$25,0))</f>
        <v>7</v>
      </c>
      <c r="DZ8">
        <f t="shared" ref="DZ8:DZ22" ca="1" si="65">IF(ISERROR(MATCH($A8,DS$8:DS$25,0)),0,MATCH($A8,DS$8:DS$25,0))</f>
        <v>6</v>
      </c>
      <c r="EA8">
        <f t="shared" ref="EA8:EA22" ca="1" si="66">IF(ISERROR(MATCH($A8,DT$8:DT$25,0)),0,MATCH($A8,DT$8:DT$25,0))</f>
        <v>15</v>
      </c>
      <c r="EC8" t="str">
        <f t="shared" ref="EC8:EC22" ca="1" si="67">IF(DV8=0,"",INDEX(AI$8:AI$25,DV8))</f>
        <v>Colombia</v>
      </c>
      <c r="ED8" t="str">
        <f t="shared" ref="ED8:ED22" ca="1" si="68">IF(DW8=0,"",INDEX(AJ$8:AJ$25,DW8))</f>
        <v>Colombia</v>
      </c>
      <c r="EE8" t="str">
        <f t="shared" ref="EE8:EE22" ca="1" si="69">IF(DX8=0,"",INDEX(AK$8:AK$25,DX8))</f>
        <v>Colombia</v>
      </c>
      <c r="EF8" t="str">
        <f t="shared" ref="EF8:EF22" ca="1" si="70">IF(DY8=0,"",INDEX(AL$8:AL$25,DY8))</f>
        <v>Guatemala</v>
      </c>
      <c r="EG8" t="str">
        <f t="shared" ref="EG8:EG22" ca="1" si="71">IF(DZ8=0,"",INDEX(AM$8:AM$25,DZ8))</f>
        <v>Colombia</v>
      </c>
      <c r="EH8" t="str">
        <f t="shared" ref="EH8:EH22" ca="1" si="72">IF(EA8=0,"",INDEX(AN$8:AN$25,EA8))</f>
        <v>Argentina</v>
      </c>
      <c r="EJ8">
        <f t="shared" ref="EJ8:EJ22" ca="1" si="73">IF(DV8=0,"",INDEX(AP$8:AP$25,DV8))</f>
        <v>58.6</v>
      </c>
      <c r="EK8">
        <f t="shared" ref="EK8:EK22" ca="1" si="74">IF(DW8=0,"",INDEX(AQ$8:AQ$25,DW8))</f>
        <v>62.5</v>
      </c>
      <c r="EL8">
        <f t="shared" ref="EL8:EL22" ca="1" si="75">IF(DX8=0,"",INDEX(AR$8:AR$25,DX8))</f>
        <v>51.4</v>
      </c>
      <c r="EM8">
        <f t="shared" ref="EM8:EM22" ca="1" si="76">IF(DY8=0,"",INDEX(AS$8:AS$25,DY8))</f>
        <v>58.3</v>
      </c>
      <c r="EN8">
        <f t="shared" ref="EN8:EN22" ca="1" si="77">IF(DZ8=0,"",INDEX(AT$8:AT$25,DZ8))</f>
        <v>2</v>
      </c>
      <c r="EO8">
        <f t="shared" ref="EO8:EO22" ca="1" si="78">IF(EA8=0,"",INDEX(AU$8:AU$25,EA8))</f>
        <v>2.8E-3</v>
      </c>
      <c r="EQ8">
        <f t="shared" ref="EQ8:EQ22" ca="1" si="79">IF(DV8=0,"",INDEX(BK$8:BK$25,DV8))</f>
        <v>46.1</v>
      </c>
      <c r="ER8">
        <f t="shared" ref="ER8:ER22" ca="1" si="80">IF(DW8=0,"",INDEX(BL$8:BL$25,DW8))</f>
        <v>50</v>
      </c>
      <c r="ES8">
        <f t="shared" ref="ES8:ES22" ca="1" si="81">IF(DX8=0,"",INDEX(BM$8:BM$25,DX8))</f>
        <v>47.1</v>
      </c>
      <c r="ET8">
        <f t="shared" ref="ET8:ET22" ca="1" si="82">IF(DY8=0,"",INDEX(BN$8:BN$25,DY8))</f>
        <v>33.299999999999997</v>
      </c>
      <c r="EU8">
        <f t="shared" ref="EU8:EU22" ca="1" si="83">IF(DZ8=0,"",INDEX(BO$8:BO$25,DZ8))</f>
        <v>1</v>
      </c>
      <c r="EV8">
        <f t="shared" ref="EV8:EV22" ca="1" si="84">IF(EA8=0,"",INDEX(BP$8:BP$25,EA8))</f>
        <v>0</v>
      </c>
      <c r="EX8" t="str">
        <f t="shared" ref="EX8:EX22" ca="1" si="85">IF(DV8=0,"",INDEX(CM$8:CM$25,DV8))</f>
        <v>+12.5</v>
      </c>
      <c r="EY8" t="str">
        <f t="shared" ref="EY8:EY22" ca="1" si="86">IF(DW8=0,"",INDEX(CN$8:CN$25,DW8))</f>
        <v>+12.5</v>
      </c>
      <c r="EZ8" t="str">
        <f t="shared" ref="EZ8:EZ22" ca="1" si="87">IF(DX8=0,"",INDEX(CO$8:CO$25,DX8))</f>
        <v>+4.3</v>
      </c>
      <c r="FA8" t="str">
        <f t="shared" ref="FA8:FA22" ca="1" si="88">IF(DY8=0,"",INDEX(CP$8:CP$25,DY8))</f>
        <v>+25.0</v>
      </c>
      <c r="FB8" t="str">
        <f t="shared" ref="FB8:FB22" ca="1" si="89">IF(DZ8=0,"",INDEX(CQ$8:CQ$25,DZ8))</f>
        <v>+1.0</v>
      </c>
      <c r="FE8">
        <f t="shared" ref="FE8:FE22" ca="1" si="90">IF(DV8=0,"",INDEX(CT$8:CT$25,DV8))</f>
        <v>1</v>
      </c>
      <c r="FF8">
        <f t="shared" ref="FF8:FF22" ca="1" si="91">IF(DW8=0,"",INDEX(CU$8:CU$25,DW8))</f>
        <v>1</v>
      </c>
      <c r="FG8">
        <f t="shared" ref="FG8:FG22" ca="1" si="92">IF(DX8=0,"",INDEX(CV$8:CV$25,DX8))</f>
        <v>1</v>
      </c>
      <c r="FH8">
        <f t="shared" ref="FH8:FH22" ca="1" si="93">IF(DY8=0,"",INDEX(CW$8:CW$25,DY8))</f>
        <v>1</v>
      </c>
      <c r="FI8">
        <f t="shared" ref="FI8:FI22" ca="1" si="94">IF(DZ8=0,"",INDEX(CX$8:CX$25,DZ8))</f>
        <v>1</v>
      </c>
      <c r="FJ8">
        <f t="shared" ref="FJ8:FJ22" ca="1" si="95">IF(EA8=0,"",INDEX(CY$8:CY$25,EA8))</f>
        <v>0</v>
      </c>
      <c r="FL8" t="str">
        <f t="shared" ref="FL8:FL22" ca="1" si="96">IF(DV8=0,"",INDEX(DA$8:DA$25,DV8))</f>
        <v>+5</v>
      </c>
      <c r="FM8" t="str">
        <f t="shared" ref="FM8:FM22" ca="1" si="97">IF(DW8=0,"",INDEX(DB$8:DB$25,DW8))</f>
        <v>+4</v>
      </c>
      <c r="FN8" t="str">
        <f t="shared" ref="FN8:FN22" ca="1" si="98">IF(DX8=0,"",INDEX(DC$8:DC$25,DX8))</f>
        <v>+2</v>
      </c>
      <c r="FO8" t="str">
        <f t="shared" ref="FO8:FO22" ca="1" si="99">IF(DY8=0,"",INDEX(DD$8:DD$25,DY8))</f>
        <v>+4</v>
      </c>
      <c r="FP8" t="str">
        <f t="shared" ref="FP8:FP22" ca="1" si="100">IF(DZ8=0,"",INDEX(DE$8:DE$25,DZ8))</f>
        <v>+5</v>
      </c>
      <c r="FQ8" t="str">
        <f t="shared" ref="FQ8:FQ22" ca="1" si="101">IF(EA8=0,"",INDEX(DF$8:DF$25,EA8))</f>
        <v>-3</v>
      </c>
      <c r="FS8">
        <f t="shared" ref="FS8:FS22" ca="1" si="102">IF(DV8=0,"",INDEX(DH$8:DH$25,DV8))</f>
        <v>1</v>
      </c>
      <c r="FT8">
        <f t="shared" ref="FT8:FT22" ca="1" si="103">IF(DW8=0,"",INDEX(DI$8:DI$25,DW8))</f>
        <v>1</v>
      </c>
      <c r="FU8">
        <f t="shared" ref="FU8:FU22" ca="1" si="104">IF(DX8=0,"",INDEX(DJ$8:DJ$25,DX8))</f>
        <v>1</v>
      </c>
      <c r="FV8">
        <f t="shared" ref="FV8:FV22" ca="1" si="105">IF(DY8=0,"",INDEX(DK$8:DK$25,DY8))</f>
        <v>1</v>
      </c>
      <c r="FW8">
        <f t="shared" ref="FW8:FW22" ca="1" si="106">IF(DZ8=0,"",INDEX(DL$8:DL$25,DZ8))</f>
        <v>1</v>
      </c>
      <c r="FX8">
        <f t="shared" ref="FX8:FX22" ca="1" si="107">IF(EA8=0,"",INDEX(DM$8:DM$25,EA8))</f>
        <v>-1</v>
      </c>
      <c r="FZ8">
        <f t="shared" ref="FZ8:FZ22" ca="1" si="108">IF(DV8=0,"",RANK(BK8,BK$8:BK$25)-RANK(EJ8,EJ$8:EJ$25))</f>
        <v>-3</v>
      </c>
    </row>
    <row r="9" spans="1:182">
      <c r="A9">
        <v>2</v>
      </c>
      <c r="B9">
        <f ca="1">uxb_countries!D4</f>
        <v>1</v>
      </c>
      <c r="C9" t="str">
        <f ca="1">uxb_countries!B4</f>
        <v>Bolivia</v>
      </c>
      <c r="D9" t="str">
        <f ca="1">uxb_countries!A4</f>
        <v>BO</v>
      </c>
      <c r="E9" s="4">
        <f ca="1">MATCH(D9,uxb_scores_2007!$J$2:$AC$2,0)</f>
        <v>2</v>
      </c>
      <c r="G9" s="3">
        <f ca="1">IF($B9=0,"",ROUND(OFFSET(uxb_scores_2008!$I$2,G$6,$E9),2))</f>
        <v>74.39</v>
      </c>
      <c r="H9" s="3">
        <f ca="1">IF($B9=0,"",ROUND(OFFSET(uxb_scores_2008!$I$2,H$6,$E9),2))</f>
        <v>87.5</v>
      </c>
      <c r="I9" s="3">
        <f ca="1">IF($B9=0,"",ROUND(OFFSET(uxb_scores_2008!$I$2,I$6,$E9),2))</f>
        <v>46.94</v>
      </c>
      <c r="J9" s="3">
        <f ca="1">IF($B9=0,"",ROUND(OFFSET(uxb_scores_2008!$I$2,J$6,$E9),2))</f>
        <v>75</v>
      </c>
      <c r="K9" s="3">
        <f ca="1">IF($B9=0,"",ROUND(OFFSET(uxb_scores_2008!$I$2,K$6,$E9),2))</f>
        <v>3</v>
      </c>
      <c r="L9">
        <f ca="1">IF($B9=0,"",ROUND(OFFSET(uxb_scores_2008!$I$2,L$6,$E9),4))</f>
        <v>0.31559999999999999</v>
      </c>
      <c r="N9">
        <f ca="1">IF($B9=0,"",ROUND(OFFSET(uxb_scores_2007!$I$2,G$6,$E9),2))</f>
        <v>79.42</v>
      </c>
      <c r="O9">
        <f ca="1">IF($B9=0,"",ROUND(OFFSET(uxb_scores_2007!$I$2,H$6,$E9),2))</f>
        <v>100</v>
      </c>
      <c r="P9">
        <f ca="1">IF($B9=0,"",ROUND(OFFSET(uxb_scores_2007!$I$2,I$6,$E9),2))</f>
        <v>47.08</v>
      </c>
      <c r="Q9">
        <f ca="1">IF($B9=0,"",ROUND(OFFSET(uxb_scores_2007!$I$2,J$6,$E9),2))</f>
        <v>75</v>
      </c>
      <c r="R9">
        <f ca="1">IF($B9=0,"",ROUND(OFFSET(uxb_scores_2007!$I$2,K$6,$E9),2))</f>
        <v>4</v>
      </c>
      <c r="S9">
        <f ca="1">IF($B9=0,"",ROUND(OFFSET(uxb_scores_2007!$I$2,L$6,$E9),2))</f>
        <v>0.32</v>
      </c>
      <c r="U9">
        <f ca="1">IF($B9=1,RANK(G9,G$8:G$25,$B$1)+COUNTIF(G$8:G9,G9)-1,"")</f>
        <v>2</v>
      </c>
      <c r="V9">
        <f ca="1">IF($B9=1,RANK(H9,H$8:H$25,$B$1)+COUNTIF(H$8:H9,H9)-1,"")</f>
        <v>1</v>
      </c>
      <c r="W9">
        <f ca="1">IF($B9=1,RANK(I9,I$8:I$25,$B$1)+COUNTIF(I$8:I9,I9)-1,"")</f>
        <v>7</v>
      </c>
      <c r="X9">
        <f ca="1">IF($B9=1,RANK(J9,J$8:J$25,$B$1)+COUNTIF(J$8:J9,J9)-1,"")</f>
        <v>2</v>
      </c>
      <c r="Y9">
        <f ca="1">IF($B9=1,RANK(K9,K$8:K$25,$B$1)+COUNTIF(K$8:K9,K9)-1,"")</f>
        <v>2</v>
      </c>
      <c r="Z9">
        <f ca="1">IF($B9=1,RANK(L9,L$8:L$25,$B$1)+COUNTIF(L$8:L9,L9)-1,"")</f>
        <v>2</v>
      </c>
      <c r="AB9">
        <f t="shared" ca="1" si="21"/>
        <v>2</v>
      </c>
      <c r="AC9">
        <f t="shared" ca="1" si="22"/>
        <v>13</v>
      </c>
      <c r="AD9">
        <f t="shared" ca="1" si="23"/>
        <v>10</v>
      </c>
      <c r="AE9">
        <f t="shared" ca="1" si="24"/>
        <v>2</v>
      </c>
      <c r="AF9">
        <f t="shared" ca="1" si="25"/>
        <v>2</v>
      </c>
      <c r="AG9">
        <f t="shared" ca="1" si="26"/>
        <v>2</v>
      </c>
      <c r="AI9" t="str">
        <f t="shared" ca="1" si="27"/>
        <v>Bolivia</v>
      </c>
      <c r="AJ9" t="str">
        <f t="shared" ca="1" si="28"/>
        <v>Peru</v>
      </c>
      <c r="AK9" t="str">
        <f t="shared" ca="1" si="29"/>
        <v>Mexico</v>
      </c>
      <c r="AL9" t="str">
        <f t="shared" ca="1" si="30"/>
        <v>Bolivia</v>
      </c>
      <c r="AM9" t="str">
        <f t="shared" ca="1" si="31"/>
        <v>Bolivia</v>
      </c>
      <c r="AN9" t="str">
        <f t="shared" ca="1" si="32"/>
        <v>Bolivia</v>
      </c>
      <c r="AP9">
        <f t="shared" ca="1" si="33"/>
        <v>74.400000000000006</v>
      </c>
      <c r="AQ9">
        <f t="shared" ca="1" si="34"/>
        <v>87.5</v>
      </c>
      <c r="AR9">
        <f t="shared" ca="1" si="35"/>
        <v>58.3</v>
      </c>
      <c r="AS9">
        <f t="shared" ca="1" si="36"/>
        <v>75</v>
      </c>
      <c r="AT9">
        <f t="shared" ca="1" si="37"/>
        <v>3</v>
      </c>
      <c r="AU9" s="203">
        <f t="shared" ca="1" si="38"/>
        <v>0.31559999999999999</v>
      </c>
      <c r="AV9" s="203"/>
      <c r="AW9" s="206">
        <f t="shared" ca="1" si="39"/>
        <v>2</v>
      </c>
      <c r="AX9" s="206">
        <f t="shared" ca="1" si="40"/>
        <v>1</v>
      </c>
      <c r="AY9" s="206">
        <f t="shared" ca="1" si="41"/>
        <v>2</v>
      </c>
      <c r="AZ9" s="206">
        <f t="shared" ca="1" si="42"/>
        <v>2</v>
      </c>
      <c r="BA9" s="206">
        <f t="shared" ca="1" si="43"/>
        <v>2</v>
      </c>
      <c r="BB9" s="206">
        <f t="shared" ca="1" si="44"/>
        <v>2</v>
      </c>
      <c r="BC9" s="206"/>
      <c r="BD9" s="186">
        <f t="shared" ref="BD9:BI9" ca="1" si="109">IF(OR(AW9=AW8,AW9=AW10),CONCATENATE("=",AW9),AW9)</f>
        <v>2</v>
      </c>
      <c r="BE9" s="186" t="str">
        <f t="shared" ca="1" si="109"/>
        <v>=1</v>
      </c>
      <c r="BF9" s="186">
        <f t="shared" ca="1" si="109"/>
        <v>2</v>
      </c>
      <c r="BG9" s="186" t="str">
        <f t="shared" ca="1" si="109"/>
        <v>=2</v>
      </c>
      <c r="BH9" s="186" t="str">
        <f t="shared" ca="1" si="109"/>
        <v>=2</v>
      </c>
      <c r="BI9" s="186">
        <f t="shared" ca="1" si="109"/>
        <v>2</v>
      </c>
      <c r="BK9">
        <f t="shared" ref="BK9:BK22" ca="1" si="110">IF(AP9=0,"",IF(AP9="","",ROUND(INDEX(N$8:N$30,AB9),1)))</f>
        <v>79.400000000000006</v>
      </c>
      <c r="BL9">
        <f t="shared" ref="BL9:BL22" ca="1" si="111">IF(AQ9=0,"",IF(AQ9="","",ROUND(INDEX(O$8:O$30,AC9),1)))</f>
        <v>81.3</v>
      </c>
      <c r="BM9">
        <f t="shared" ref="BM9:BM22" ca="1" si="112">IF(AR9=0,"",IF(AR9="","",ROUND(INDEX(P$8:P$30,AD9),1)))</f>
        <v>58.3</v>
      </c>
      <c r="BN9">
        <f t="shared" ref="BN9:BN22" ca="1" si="113">IF(AS9=0,"",IF(AS9="","",ROUND(INDEX(Q$8:Q$30,AE9),1)))</f>
        <v>75</v>
      </c>
      <c r="BO9">
        <f t="shared" ref="BO9:BO22" ca="1" si="114">IF(AT9=0,"",IF(AT9="","",ROUND(INDEX(R$8:R$30,AF9),1)))</f>
        <v>4</v>
      </c>
      <c r="BP9">
        <f t="shared" ref="BP9:BP22" ca="1" si="115">IF(AU9=0,"",IF(AU9="","",ROUND(INDEX(S$8:S$30,AG9),1)))</f>
        <v>0.3</v>
      </c>
      <c r="BR9">
        <f t="shared" ca="1" si="47"/>
        <v>1</v>
      </c>
      <c r="BS9">
        <f t="shared" ca="1" si="48"/>
        <v>2</v>
      </c>
      <c r="BT9">
        <f t="shared" ca="1" si="49"/>
        <v>3</v>
      </c>
      <c r="BU9">
        <f t="shared" ca="1" si="50"/>
        <v>1</v>
      </c>
      <c r="BV9">
        <f t="shared" ca="1" si="51"/>
        <v>1</v>
      </c>
      <c r="BW9">
        <f t="shared" ca="1" si="52"/>
        <v>2</v>
      </c>
      <c r="BY9">
        <f t="shared" ca="1" si="53"/>
        <v>-5</v>
      </c>
      <c r="BZ9">
        <f t="shared" ca="1" si="53"/>
        <v>6.2</v>
      </c>
      <c r="CA9">
        <f t="shared" ca="1" si="53"/>
        <v>0</v>
      </c>
      <c r="CB9">
        <f t="shared" ca="1" si="53"/>
        <v>0</v>
      </c>
      <c r="CC9">
        <f t="shared" ca="1" si="53"/>
        <v>-1</v>
      </c>
      <c r="CD9">
        <f t="shared" ca="1" si="53"/>
        <v>0</v>
      </c>
      <c r="CF9" s="206">
        <f t="shared" ca="1" si="54"/>
        <v>-1</v>
      </c>
      <c r="CG9" s="206">
        <f t="shared" ca="1" si="54"/>
        <v>1</v>
      </c>
      <c r="CH9" s="206">
        <f t="shared" ca="1" si="54"/>
        <v>1</v>
      </c>
      <c r="CI9" s="206">
        <f t="shared" ca="1" si="54"/>
        <v>-1</v>
      </c>
      <c r="CJ9" s="206">
        <f t="shared" ca="1" si="54"/>
        <v>-1</v>
      </c>
      <c r="CK9" s="206">
        <f t="shared" ca="1" si="54"/>
        <v>0</v>
      </c>
      <c r="CM9" t="str">
        <f t="shared" ca="1" si="55"/>
        <v>-5.0</v>
      </c>
      <c r="CN9" t="str">
        <f t="shared" ca="1" si="56"/>
        <v>+6.2</v>
      </c>
      <c r="CO9" t="str">
        <f t="shared" ca="1" si="56"/>
        <v>-</v>
      </c>
      <c r="CP9" t="str">
        <f t="shared" ca="1" si="56"/>
        <v>-</v>
      </c>
      <c r="CQ9" t="str">
        <f t="shared" ref="CQ9:CQ22" ca="1" si="116">IF(BO9=-1,"new",IF(CC9=0,"-",IF(CC9&gt;0,CONCATENATE("+",TEXT(CC9,"0.0")),CONCATENATE("-",TEXT(ABS(CC9),"0.0")))))</f>
        <v>-1.0</v>
      </c>
      <c r="CR9" t="str">
        <f t="shared" ref="CR9:CR22" ca="1" si="117">IF(BP9=-1,"",IF(CD9=0,"-",IF(CD9&gt;0,CONCATENATE("+",CD9),CONCATENATE("-",ABS(CD9)))))</f>
        <v>-</v>
      </c>
      <c r="CT9">
        <f t="shared" ca="1" si="57"/>
        <v>-1</v>
      </c>
      <c r="CU9">
        <f t="shared" ca="1" si="58"/>
        <v>1</v>
      </c>
      <c r="CV9">
        <f t="shared" ca="1" si="58"/>
        <v>0</v>
      </c>
      <c r="CW9">
        <f t="shared" ca="1" si="58"/>
        <v>0</v>
      </c>
      <c r="CX9">
        <f t="shared" ca="1" si="58"/>
        <v>-1</v>
      </c>
      <c r="CY9">
        <f t="shared" ca="1" si="58"/>
        <v>0</v>
      </c>
      <c r="DA9" t="str">
        <f t="shared" ca="1" si="59"/>
        <v>-1</v>
      </c>
      <c r="DB9" t="str">
        <f t="shared" ca="1" si="59"/>
        <v>+1</v>
      </c>
      <c r="DC9" t="str">
        <f t="shared" ca="1" si="59"/>
        <v>+1</v>
      </c>
      <c r="DD9" t="str">
        <f t="shared" ca="1" si="59"/>
        <v>-1</v>
      </c>
      <c r="DE9" t="str">
        <f t="shared" ca="1" si="59"/>
        <v>-1</v>
      </c>
      <c r="DF9" t="str">
        <f t="shared" ca="1" si="59"/>
        <v>-</v>
      </c>
      <c r="DH9">
        <f t="shared" ca="1" si="60"/>
        <v>-1</v>
      </c>
      <c r="DI9">
        <f t="shared" ca="1" si="60"/>
        <v>1</v>
      </c>
      <c r="DJ9">
        <f t="shared" ca="1" si="60"/>
        <v>1</v>
      </c>
      <c r="DK9">
        <f t="shared" ca="1" si="60"/>
        <v>-1</v>
      </c>
      <c r="DL9">
        <f t="shared" ca="1" si="60"/>
        <v>-1</v>
      </c>
      <c r="DM9">
        <f t="shared" ca="1" si="60"/>
        <v>0</v>
      </c>
      <c r="DO9">
        <f ca="1">RANK(BY9,BY$8:BY$22)+COUNTIF(BY9:BY$22,BY9)-1</f>
        <v>12</v>
      </c>
      <c r="DP9">
        <f ca="1">RANK(BZ9,BZ$8:BZ$22)+COUNTIF(BZ9:BZ$22,BZ9)-1</f>
        <v>3</v>
      </c>
      <c r="DQ9">
        <f ca="1">RANK(CA9,CA$8:CA$22)+COUNTIF(CA9:CA$22,CA9)-1</f>
        <v>9</v>
      </c>
      <c r="DR9">
        <f ca="1">RANK(CB9,CB$8:CB$22)+COUNTIF(CB9:CB$22,CB9)-1</f>
        <v>11</v>
      </c>
      <c r="DS9">
        <f ca="1">RANK(CC9,CC$8:CC$22)+COUNTIF(CC9:CC$22,CC9)-1</f>
        <v>15</v>
      </c>
      <c r="DT9">
        <f ca="1">RANK(CD9,CD$8:CD$22)+COUNTIF(CD9:CD$22,CD9)-1</f>
        <v>14</v>
      </c>
      <c r="DV9">
        <f t="shared" ca="1" si="61"/>
        <v>7</v>
      </c>
      <c r="DW9">
        <f t="shared" ca="1" si="62"/>
        <v>8</v>
      </c>
      <c r="DX9">
        <f t="shared" ca="1" si="63"/>
        <v>9</v>
      </c>
      <c r="DY9">
        <f t="shared" ca="1" si="64"/>
        <v>6</v>
      </c>
      <c r="DZ9">
        <f t="shared" ca="1" si="65"/>
        <v>4</v>
      </c>
      <c r="EA9">
        <f t="shared" ca="1" si="66"/>
        <v>14</v>
      </c>
      <c r="EC9" t="str">
        <f t="shared" ca="1" si="67"/>
        <v>Guatemala</v>
      </c>
      <c r="ED9" t="str">
        <f t="shared" ca="1" si="68"/>
        <v>Mexico</v>
      </c>
      <c r="EE9" t="str">
        <f t="shared" ca="1" si="69"/>
        <v>Nicaragua</v>
      </c>
      <c r="EF9" t="str">
        <f t="shared" ca="1" si="70"/>
        <v>Colombia</v>
      </c>
      <c r="EG9" t="str">
        <f t="shared" ca="1" si="71"/>
        <v>Mexico</v>
      </c>
      <c r="EH9" t="str">
        <f t="shared" ca="1" si="72"/>
        <v>Brazil</v>
      </c>
      <c r="EJ9">
        <f t="shared" ca="1" si="73"/>
        <v>54</v>
      </c>
      <c r="EK9">
        <f t="shared" ca="1" si="74"/>
        <v>56.3</v>
      </c>
      <c r="EL9">
        <f t="shared" ca="1" si="75"/>
        <v>44.2</v>
      </c>
      <c r="EM9">
        <f t="shared" ca="1" si="76"/>
        <v>58.3</v>
      </c>
      <c r="EN9">
        <f t="shared" ca="1" si="77"/>
        <v>3</v>
      </c>
      <c r="EO9">
        <f t="shared" ca="1" si="78"/>
        <v>1.29E-2</v>
      </c>
      <c r="EQ9">
        <f t="shared" ca="1" si="79"/>
        <v>44</v>
      </c>
      <c r="ER9">
        <f t="shared" ca="1" si="80"/>
        <v>50</v>
      </c>
      <c r="ES9">
        <f t="shared" ca="1" si="81"/>
        <v>40</v>
      </c>
      <c r="ET9">
        <f t="shared" ca="1" si="82"/>
        <v>41.7</v>
      </c>
      <c r="EU9">
        <f t="shared" ca="1" si="83"/>
        <v>2</v>
      </c>
      <c r="EV9">
        <f t="shared" ca="1" si="84"/>
        <v>0</v>
      </c>
      <c r="EX9" t="str">
        <f t="shared" ca="1" si="85"/>
        <v>+10.0</v>
      </c>
      <c r="EY9" t="str">
        <f t="shared" ca="1" si="86"/>
        <v>+6.3</v>
      </c>
      <c r="EZ9" t="str">
        <f t="shared" ca="1" si="87"/>
        <v>+4.2</v>
      </c>
      <c r="FA9" t="str">
        <f t="shared" ca="1" si="88"/>
        <v>+16.6</v>
      </c>
      <c r="FB9" t="str">
        <f t="shared" ca="1" si="89"/>
        <v>+1.0</v>
      </c>
      <c r="FE9">
        <f t="shared" ca="1" si="90"/>
        <v>1</v>
      </c>
      <c r="FF9">
        <f t="shared" ca="1" si="91"/>
        <v>1</v>
      </c>
      <c r="FG9">
        <f t="shared" ca="1" si="92"/>
        <v>1</v>
      </c>
      <c r="FH9">
        <f t="shared" ca="1" si="93"/>
        <v>1</v>
      </c>
      <c r="FI9">
        <f t="shared" ca="1" si="94"/>
        <v>1</v>
      </c>
      <c r="FJ9">
        <f t="shared" ca="1" si="95"/>
        <v>0</v>
      </c>
      <c r="FL9" t="str">
        <f t="shared" ca="1" si="96"/>
        <v>+4</v>
      </c>
      <c r="FM9" t="str">
        <f t="shared" ca="1" si="97"/>
        <v>+2</v>
      </c>
      <c r="FN9" t="str">
        <f t="shared" ca="1" si="98"/>
        <v>+4</v>
      </c>
      <c r="FO9" t="str">
        <f t="shared" ca="1" si="99"/>
        <v>+2</v>
      </c>
      <c r="FP9" t="str">
        <f t="shared" ca="1" si="100"/>
        <v>+3</v>
      </c>
      <c r="FQ9" t="str">
        <f t="shared" ca="1" si="101"/>
        <v>-2</v>
      </c>
      <c r="FS9">
        <f t="shared" ca="1" si="102"/>
        <v>1</v>
      </c>
      <c r="FT9">
        <f t="shared" ca="1" si="103"/>
        <v>1</v>
      </c>
      <c r="FU9">
        <f t="shared" ca="1" si="104"/>
        <v>1</v>
      </c>
      <c r="FV9">
        <f t="shared" ca="1" si="105"/>
        <v>1</v>
      </c>
      <c r="FW9">
        <f t="shared" ca="1" si="106"/>
        <v>1</v>
      </c>
      <c r="FX9">
        <f t="shared" ca="1" si="107"/>
        <v>-1</v>
      </c>
      <c r="FZ9">
        <f t="shared" ca="1" si="108"/>
        <v>-6</v>
      </c>
    </row>
    <row r="10" spans="1:182">
      <c r="A10">
        <v>3</v>
      </c>
      <c r="B10">
        <f ca="1">uxb_countries!D5</f>
        <v>1</v>
      </c>
      <c r="C10" t="str">
        <f ca="1">uxb_countries!B5</f>
        <v>Brazil</v>
      </c>
      <c r="D10" t="str">
        <f ca="1">uxb_countries!A5</f>
        <v>BR</v>
      </c>
      <c r="E10" s="4">
        <f ca="1">MATCH(D10,uxb_scores_2007!$J$2:$AC$2,0)</f>
        <v>3</v>
      </c>
      <c r="G10" s="3">
        <f ca="1">IF($B10=0,"",ROUND(OFFSET(uxb_scores_2008!$I$2,G$6,$E10),2))</f>
        <v>41.56</v>
      </c>
      <c r="H10" s="3">
        <f ca="1">IF($B10=0,"",ROUND(OFFSET(uxb_scores_2008!$I$2,H$6,$E10),2))</f>
        <v>43.75</v>
      </c>
      <c r="I10" s="3">
        <f ca="1">IF($B10=0,"",ROUND(OFFSET(uxb_scores_2008!$I$2,I$6,$E10),2))</f>
        <v>53.61</v>
      </c>
      <c r="J10" s="3">
        <f ca="1">IF($B10=0,"",ROUND(OFFSET(uxb_scores_2008!$I$2,J$6,$E10),2))</f>
        <v>33.33</v>
      </c>
      <c r="K10" s="3">
        <f ca="1">IF($B10=0,"",ROUND(OFFSET(uxb_scores_2008!$I$2,K$6,$E10),2))</f>
        <v>2</v>
      </c>
      <c r="L10">
        <f ca="1">IF($B10=0,"",ROUND(OFFSET(uxb_scores_2008!$I$2,L$6,$E10),4))</f>
        <v>1.29E-2</v>
      </c>
      <c r="N10">
        <f ca="1">IF($B10=0,"",ROUND(OFFSET(uxb_scores_2007!$I$2,G$6,$E10),2))</f>
        <v>43.25</v>
      </c>
      <c r="O10">
        <f ca="1">IF($B10=0,"",ROUND(OFFSET(uxb_scores_2007!$I$2,H$6,$E10),2))</f>
        <v>43.75</v>
      </c>
      <c r="P10">
        <f ca="1">IF($B10=0,"",ROUND(OFFSET(uxb_scores_2007!$I$2,I$6,$E10),2))</f>
        <v>62.08</v>
      </c>
      <c r="Q10">
        <f ca="1">IF($B10=0,"",ROUND(OFFSET(uxb_scores_2007!$I$2,J$6,$E10),2))</f>
        <v>33.33</v>
      </c>
      <c r="R10">
        <f ca="1">IF($B10=0,"",ROUND(OFFSET(uxb_scores_2007!$I$2,K$6,$E10),2))</f>
        <v>2</v>
      </c>
      <c r="S10">
        <f ca="1">IF($B10=0,"",ROUND(OFFSET(uxb_scores_2007!$I$2,L$6,$E10),2))</f>
        <v>0.01</v>
      </c>
      <c r="U10">
        <f ca="1">IF($B10=1,RANK(G10,G$8:G$25,$B$1)+COUNTIF(G$8:G10,G10)-1,"")</f>
        <v>12</v>
      </c>
      <c r="V10">
        <f ca="1">IF($B10=1,RANK(H10,H$8:H$25,$B$1)+COUNTIF(H$8:H10,H10)-1,"")</f>
        <v>11</v>
      </c>
      <c r="W10">
        <f ca="1">IF($B10=1,RANK(I10,I$8:I$25,$B$1)+COUNTIF(I$8:I10,I10)-1,"")</f>
        <v>4</v>
      </c>
      <c r="X10">
        <f ca="1">IF($B10=1,RANK(J10,J$8:J$25,$B$1)+COUNTIF(J$8:J10,J10)-1,"")</f>
        <v>11</v>
      </c>
      <c r="Y10">
        <f ca="1">IF($B10=1,RANK(K10,K$8:K$25,$B$1)+COUNTIF(K$8:K10,K10)-1,"")</f>
        <v>5</v>
      </c>
      <c r="Z10">
        <f ca="1">IF($B10=1,RANK(L10,L$8:L$25,$B$1)+COUNTIF(L$8:L10,L10)-1,"")</f>
        <v>14</v>
      </c>
      <c r="AB10">
        <f t="shared" ca="1" si="21"/>
        <v>7</v>
      </c>
      <c r="AC10">
        <f t="shared" ca="1" si="22"/>
        <v>7</v>
      </c>
      <c r="AD10">
        <f t="shared" ca="1" si="23"/>
        <v>13</v>
      </c>
      <c r="AE10">
        <f t="shared" ca="1" si="24"/>
        <v>13</v>
      </c>
      <c r="AF10">
        <f t="shared" ca="1" si="25"/>
        <v>7</v>
      </c>
      <c r="AG10">
        <f t="shared" ca="1" si="26"/>
        <v>7</v>
      </c>
      <c r="AI10" t="str">
        <f t="shared" ca="1" si="27"/>
        <v>Ecuador</v>
      </c>
      <c r="AJ10" t="str">
        <f t="shared" ca="1" si="28"/>
        <v>Ecuador</v>
      </c>
      <c r="AK10" t="str">
        <f t="shared" ca="1" si="29"/>
        <v>Peru</v>
      </c>
      <c r="AL10" t="str">
        <f t="shared" ca="1" si="30"/>
        <v>Peru</v>
      </c>
      <c r="AM10" t="str">
        <f t="shared" ca="1" si="31"/>
        <v>Ecuador</v>
      </c>
      <c r="AN10" t="str">
        <f t="shared" ca="1" si="32"/>
        <v>Ecuador</v>
      </c>
      <c r="AP10">
        <f t="shared" ca="1" si="33"/>
        <v>69.7</v>
      </c>
      <c r="AQ10">
        <f t="shared" ca="1" si="34"/>
        <v>75</v>
      </c>
      <c r="AR10">
        <f t="shared" ca="1" si="35"/>
        <v>58</v>
      </c>
      <c r="AS10">
        <f t="shared" ca="1" si="36"/>
        <v>75</v>
      </c>
      <c r="AT10">
        <f t="shared" ca="1" si="37"/>
        <v>3</v>
      </c>
      <c r="AU10" s="203">
        <f t="shared" ca="1" si="38"/>
        <v>0.26900000000000002</v>
      </c>
      <c r="AV10" s="203"/>
      <c r="AW10" s="206">
        <f t="shared" ca="1" si="39"/>
        <v>3</v>
      </c>
      <c r="AX10" s="206">
        <f t="shared" ca="1" si="40"/>
        <v>3</v>
      </c>
      <c r="AY10" s="206">
        <f t="shared" ca="1" si="41"/>
        <v>3</v>
      </c>
      <c r="AZ10" s="206">
        <f t="shared" ca="1" si="42"/>
        <v>2</v>
      </c>
      <c r="BA10" s="206">
        <f t="shared" ca="1" si="43"/>
        <v>2</v>
      </c>
      <c r="BB10" s="206">
        <f t="shared" ca="1" si="44"/>
        <v>3</v>
      </c>
      <c r="BC10" s="206"/>
      <c r="BD10" s="186">
        <f t="shared" ref="BD10:BD22" ca="1" si="118">IF(OR(AW10=AW9,AW10=AW11),CONCATENATE("=",AW10),AW10)</f>
        <v>3</v>
      </c>
      <c r="BE10" s="186">
        <f t="shared" ref="BE10:BE22" ca="1" si="119">IF(OR(AX10=AX9,AX10=AX11),CONCATENATE("=",AX10),AX10)</f>
        <v>3</v>
      </c>
      <c r="BF10" s="186">
        <f t="shared" ref="BF10:BF22" ca="1" si="120">IF(OR(AY10=AY9,AY10=AY11),CONCATENATE("=",AY10),AY10)</f>
        <v>3</v>
      </c>
      <c r="BG10" s="186" t="str">
        <f t="shared" ref="BG10:BG22" ca="1" si="121">IF(OR(AZ10=AZ9,AZ10=AZ11),CONCATENATE("=",AZ10),AZ10)</f>
        <v>=2</v>
      </c>
      <c r="BH10" s="186" t="str">
        <f t="shared" ref="BH10:BH22" ca="1" si="122">IF(OR(BA10=BA9,BA10=BA11),CONCATENATE("=",BA10),BA10)</f>
        <v>=2</v>
      </c>
      <c r="BI10" s="186">
        <f t="shared" ref="BI10:BI22" ca="1" si="123">IF(OR(BB10=BB9,BB10=BB11),CONCATENATE("=",BB10),BB10)</f>
        <v>3</v>
      </c>
      <c r="BK10">
        <f t="shared" ca="1" si="110"/>
        <v>68.3</v>
      </c>
      <c r="BL10">
        <f t="shared" ca="1" si="111"/>
        <v>75</v>
      </c>
      <c r="BM10">
        <f t="shared" ca="1" si="112"/>
        <v>57.9</v>
      </c>
      <c r="BN10">
        <f t="shared" ca="1" si="113"/>
        <v>75</v>
      </c>
      <c r="BO10">
        <f t="shared" ca="1" si="114"/>
        <v>3</v>
      </c>
      <c r="BP10">
        <f t="shared" ca="1" si="115"/>
        <v>0.3</v>
      </c>
      <c r="BR10">
        <f t="shared" ca="1" si="47"/>
        <v>3</v>
      </c>
      <c r="BS10">
        <f t="shared" ca="1" si="48"/>
        <v>3</v>
      </c>
      <c r="BT10">
        <f t="shared" ca="1" si="49"/>
        <v>4</v>
      </c>
      <c r="BU10">
        <f t="shared" ca="1" si="50"/>
        <v>1</v>
      </c>
      <c r="BV10">
        <f t="shared" ca="1" si="51"/>
        <v>2</v>
      </c>
      <c r="BW10">
        <f t="shared" ca="1" si="52"/>
        <v>2</v>
      </c>
      <c r="BY10">
        <f t="shared" ca="1" si="53"/>
        <v>1.4</v>
      </c>
      <c r="BZ10">
        <f t="shared" ca="1" si="53"/>
        <v>0</v>
      </c>
      <c r="CA10">
        <f t="shared" ca="1" si="53"/>
        <v>0.1</v>
      </c>
      <c r="CB10">
        <f t="shared" ca="1" si="53"/>
        <v>0</v>
      </c>
      <c r="CC10">
        <f t="shared" ca="1" si="53"/>
        <v>0</v>
      </c>
      <c r="CD10">
        <f t="shared" ca="1" si="53"/>
        <v>0</v>
      </c>
      <c r="CF10" s="206">
        <f t="shared" ca="1" si="54"/>
        <v>0</v>
      </c>
      <c r="CG10" s="206">
        <f t="shared" ca="1" si="54"/>
        <v>0</v>
      </c>
      <c r="CH10" s="206">
        <f t="shared" ca="1" si="54"/>
        <v>1</v>
      </c>
      <c r="CI10" s="206">
        <f t="shared" ca="1" si="54"/>
        <v>-1</v>
      </c>
      <c r="CJ10" s="206">
        <f t="shared" ca="1" si="54"/>
        <v>0</v>
      </c>
      <c r="CK10" s="206">
        <f t="shared" ca="1" si="54"/>
        <v>-1</v>
      </c>
      <c r="CM10" t="str">
        <f t="shared" ca="1" si="55"/>
        <v>+1.4</v>
      </c>
      <c r="CN10" t="str">
        <f t="shared" ca="1" si="56"/>
        <v>-</v>
      </c>
      <c r="CO10" t="str">
        <f t="shared" ca="1" si="56"/>
        <v>+0.1</v>
      </c>
      <c r="CP10" t="str">
        <f t="shared" ca="1" si="56"/>
        <v>-</v>
      </c>
      <c r="CQ10" t="str">
        <f t="shared" ca="1" si="116"/>
        <v>-</v>
      </c>
      <c r="CR10" t="str">
        <f t="shared" ca="1" si="117"/>
        <v>-</v>
      </c>
      <c r="CT10">
        <f t="shared" ca="1" si="57"/>
        <v>1</v>
      </c>
      <c r="CU10">
        <f t="shared" ca="1" si="58"/>
        <v>0</v>
      </c>
      <c r="CV10">
        <f t="shared" ca="1" si="58"/>
        <v>1</v>
      </c>
      <c r="CW10">
        <f t="shared" ca="1" si="58"/>
        <v>0</v>
      </c>
      <c r="CX10">
        <f t="shared" ca="1" si="58"/>
        <v>0</v>
      </c>
      <c r="CY10">
        <f t="shared" ca="1" si="58"/>
        <v>0</v>
      </c>
      <c r="DA10" t="str">
        <f t="shared" ca="1" si="59"/>
        <v>-</v>
      </c>
      <c r="DB10" t="str">
        <f t="shared" ca="1" si="59"/>
        <v>-</v>
      </c>
      <c r="DC10" t="str">
        <f t="shared" ca="1" si="59"/>
        <v>+1</v>
      </c>
      <c r="DD10" t="str">
        <f t="shared" ca="1" si="59"/>
        <v>-1</v>
      </c>
      <c r="DE10" t="str">
        <f t="shared" ca="1" si="59"/>
        <v>-</v>
      </c>
      <c r="DF10" t="str">
        <f t="shared" ca="1" si="59"/>
        <v>-1</v>
      </c>
      <c r="DH10">
        <f t="shared" ca="1" si="60"/>
        <v>0</v>
      </c>
      <c r="DI10">
        <f t="shared" ca="1" si="60"/>
        <v>0</v>
      </c>
      <c r="DJ10">
        <f t="shared" ca="1" si="60"/>
        <v>1</v>
      </c>
      <c r="DK10">
        <f t="shared" ca="1" si="60"/>
        <v>-1</v>
      </c>
      <c r="DL10">
        <f t="shared" ca="1" si="60"/>
        <v>0</v>
      </c>
      <c r="DM10">
        <f t="shared" ca="1" si="60"/>
        <v>-1</v>
      </c>
      <c r="DO10">
        <f ca="1">RANK(BY10,BY$8:BY$22)+COUNTIF(BY10:BY$22,BY10)-1</f>
        <v>6</v>
      </c>
      <c r="DP10">
        <f ca="1">RANK(BZ10,BZ$8:BZ$22)+COUNTIF(BZ10:BZ$22,BZ10)-1</f>
        <v>10</v>
      </c>
      <c r="DQ10">
        <f ca="1">RANK(CA10,CA$8:CA$22)+COUNTIF(CA10:CA$22,CA10)-1</f>
        <v>6</v>
      </c>
      <c r="DR10">
        <f ca="1">RANK(CB10,CB$8:CB$22)+COUNTIF(CB10:CB$22,CB10)-1</f>
        <v>10</v>
      </c>
      <c r="DS10">
        <f ca="1">RANK(CC10,CC$8:CC$22)+COUNTIF(CC10:CC$22,CC10)-1</f>
        <v>13</v>
      </c>
      <c r="DT10">
        <f ca="1">RANK(CD10,CD$8:CD$22)+COUNTIF(CD10:CD$22,CD10)-1</f>
        <v>13</v>
      </c>
      <c r="DV10">
        <f t="shared" ca="1" si="61"/>
        <v>6</v>
      </c>
      <c r="DW10">
        <f t="shared" ca="1" si="62"/>
        <v>2</v>
      </c>
      <c r="DX10">
        <f t="shared" ca="1" si="63"/>
        <v>12</v>
      </c>
      <c r="DY10">
        <f t="shared" ca="1" si="64"/>
        <v>5</v>
      </c>
      <c r="DZ10">
        <f t="shared" ca="1" si="65"/>
        <v>1</v>
      </c>
      <c r="EA10">
        <f t="shared" ca="1" si="66"/>
        <v>13</v>
      </c>
      <c r="EC10" t="str">
        <f t="shared" ca="1" si="67"/>
        <v>Nicaragua</v>
      </c>
      <c r="ED10" t="str">
        <f t="shared" ca="1" si="68"/>
        <v>Peru</v>
      </c>
      <c r="EE10" t="str">
        <f t="shared" ca="1" si="69"/>
        <v>Dominican Rep</v>
      </c>
      <c r="EF10" t="str">
        <f t="shared" ca="1" si="70"/>
        <v>Nicaragua</v>
      </c>
      <c r="EG10" t="str">
        <f t="shared" ca="1" si="71"/>
        <v>Peru</v>
      </c>
      <c r="EH10" t="str">
        <f t="shared" ca="1" si="72"/>
        <v>Venezuela</v>
      </c>
      <c r="EJ10">
        <f t="shared" ca="1" si="73"/>
        <v>58</v>
      </c>
      <c r="EK10">
        <f t="shared" ca="1" si="74"/>
        <v>87.5</v>
      </c>
      <c r="EL10">
        <f t="shared" ca="1" si="75"/>
        <v>40</v>
      </c>
      <c r="EM10">
        <f t="shared" ca="1" si="76"/>
        <v>66.7</v>
      </c>
      <c r="EN10">
        <f t="shared" ca="1" si="77"/>
        <v>4</v>
      </c>
      <c r="EO10">
        <f t="shared" ca="1" si="78"/>
        <v>1.38E-2</v>
      </c>
      <c r="EQ10">
        <f t="shared" ca="1" si="79"/>
        <v>53.8</v>
      </c>
      <c r="ER10">
        <f t="shared" ca="1" si="80"/>
        <v>81.3</v>
      </c>
      <c r="ES10">
        <f t="shared" ca="1" si="81"/>
        <v>37.5</v>
      </c>
      <c r="ET10">
        <f t="shared" ca="1" si="82"/>
        <v>58.3</v>
      </c>
      <c r="EU10">
        <f t="shared" ca="1" si="83"/>
        <v>3</v>
      </c>
      <c r="EV10">
        <f t="shared" ca="1" si="84"/>
        <v>0</v>
      </c>
      <c r="EX10" t="str">
        <f t="shared" ca="1" si="85"/>
        <v>+4.2</v>
      </c>
      <c r="EY10" t="str">
        <f t="shared" ca="1" si="86"/>
        <v>+6.2</v>
      </c>
      <c r="EZ10" t="str">
        <f t="shared" ca="1" si="87"/>
        <v>+2.5</v>
      </c>
      <c r="FA10" t="str">
        <f t="shared" ca="1" si="88"/>
        <v>+8.4</v>
      </c>
      <c r="FB10" t="str">
        <f t="shared" ca="1" si="89"/>
        <v>+1.0</v>
      </c>
      <c r="FE10">
        <f t="shared" ca="1" si="90"/>
        <v>1</v>
      </c>
      <c r="FF10">
        <f t="shared" ca="1" si="91"/>
        <v>1</v>
      </c>
      <c r="FG10">
        <f t="shared" ca="1" si="92"/>
        <v>1</v>
      </c>
      <c r="FH10">
        <f t="shared" ca="1" si="93"/>
        <v>1</v>
      </c>
      <c r="FI10">
        <f t="shared" ca="1" si="94"/>
        <v>1</v>
      </c>
      <c r="FJ10">
        <f t="shared" ca="1" si="95"/>
        <v>0</v>
      </c>
      <c r="FL10" t="str">
        <f t="shared" ca="1" si="96"/>
        <v>-</v>
      </c>
      <c r="FM10" t="str">
        <f t="shared" ca="1" si="97"/>
        <v>+1</v>
      </c>
      <c r="FN10" t="str">
        <f t="shared" ca="1" si="98"/>
        <v>+3</v>
      </c>
      <c r="FO10" t="str">
        <f t="shared" ca="1" si="99"/>
        <v>+2</v>
      </c>
      <c r="FP10" t="str">
        <f t="shared" ca="1" si="100"/>
        <v>+1</v>
      </c>
      <c r="FQ10" t="str">
        <f t="shared" ca="1" si="101"/>
        <v>-1</v>
      </c>
      <c r="FS10">
        <f t="shared" ca="1" si="102"/>
        <v>0</v>
      </c>
      <c r="FT10">
        <f t="shared" ca="1" si="103"/>
        <v>1</v>
      </c>
      <c r="FU10">
        <f t="shared" ca="1" si="104"/>
        <v>1</v>
      </c>
      <c r="FV10">
        <f t="shared" ca="1" si="105"/>
        <v>1</v>
      </c>
      <c r="FW10">
        <f t="shared" ca="1" si="106"/>
        <v>1</v>
      </c>
      <c r="FX10">
        <f t="shared" ca="1" si="107"/>
        <v>-1</v>
      </c>
      <c r="FZ10">
        <f t="shared" ca="1" si="108"/>
        <v>-3</v>
      </c>
    </row>
    <row r="11" spans="1:182">
      <c r="A11">
        <v>4</v>
      </c>
      <c r="B11">
        <f ca="1">uxb_countries!D6</f>
        <v>1</v>
      </c>
      <c r="C11" t="str">
        <f ca="1">uxb_countries!B6</f>
        <v>Chile</v>
      </c>
      <c r="D11" t="str">
        <f ca="1">uxb_countries!A6</f>
        <v>CL</v>
      </c>
      <c r="E11" s="4">
        <f ca="1">MATCH(D11,uxb_scores_2007!$J$2:$AC$2,0)</f>
        <v>4</v>
      </c>
      <c r="G11" s="3">
        <f ca="1">IF($B11=0,"",ROUND(OFFSET(uxb_scores_2008!$I$2,G$6,$E11),2))</f>
        <v>43.17</v>
      </c>
      <c r="H11" s="3">
        <f ca="1">IF($B11=0,"",ROUND(OFFSET(uxb_scores_2008!$I$2,H$6,$E11),2))</f>
        <v>37.5</v>
      </c>
      <c r="I11" s="3">
        <f ca="1">IF($B11=0,"",ROUND(OFFSET(uxb_scores_2008!$I$2,I$6,$E11),2))</f>
        <v>74.17</v>
      </c>
      <c r="J11" s="3">
        <f ca="1">IF($B11=0,"",ROUND(OFFSET(uxb_scores_2008!$I$2,J$6,$E11),2))</f>
        <v>33.33</v>
      </c>
      <c r="K11" s="3">
        <f ca="1">IF($B11=0,"",ROUND(OFFSET(uxb_scores_2008!$I$2,K$6,$E11),2))</f>
        <v>1</v>
      </c>
      <c r="L11">
        <f ca="1">IF($B11=0,"",ROUND(OFFSET(uxb_scores_2008!$I$2,L$6,$E11),4))</f>
        <v>0.19900000000000001</v>
      </c>
      <c r="N11">
        <f ca="1">IF($B11=0,"",ROUND(OFFSET(uxb_scores_2007!$I$2,G$6,$E11),2))</f>
        <v>48.33</v>
      </c>
      <c r="O11">
        <f ca="1">IF($B11=0,"",ROUND(OFFSET(uxb_scores_2007!$I$2,H$6,$E11),2))</f>
        <v>50</v>
      </c>
      <c r="P11">
        <f ca="1">IF($B11=0,"",ROUND(OFFSET(uxb_scores_2007!$I$2,I$6,$E11),2))</f>
        <v>75</v>
      </c>
      <c r="Q11">
        <f ca="1">IF($B11=0,"",ROUND(OFFSET(uxb_scores_2007!$I$2,J$6,$E11),2))</f>
        <v>33.33</v>
      </c>
      <c r="R11">
        <f ca="1">IF($B11=0,"",ROUND(OFFSET(uxb_scores_2007!$I$2,K$6,$E11),2))</f>
        <v>1</v>
      </c>
      <c r="S11">
        <f ca="1">IF($B11=0,"",ROUND(OFFSET(uxb_scores_2007!$I$2,L$6,$E11),2))</f>
        <v>0.2</v>
      </c>
      <c r="U11">
        <f ca="1">IF($B11=1,RANK(G11,G$8:G$25,$B$1)+COUNTIF(G$8:G11,G11)-1,"")</f>
        <v>11</v>
      </c>
      <c r="V11">
        <f ca="1">IF($B11=1,RANK(H11,H$8:H$25,$B$1)+COUNTIF(H$8:H11,H11)-1,"")</f>
        <v>12</v>
      </c>
      <c r="W11">
        <f ca="1">IF($B11=1,RANK(I11,I$8:I$25,$B$1)+COUNTIF(I$8:I11,I11)-1,"")</f>
        <v>1</v>
      </c>
      <c r="X11">
        <f ca="1">IF($B11=1,RANK(J11,J$8:J$25,$B$1)+COUNTIF(J$8:J11,J11)-1,"")</f>
        <v>12</v>
      </c>
      <c r="Y11">
        <f ca="1">IF($B11=1,RANK(K11,K$8:K$25,$B$1)+COUNTIF(K$8:K11,K11)-1,"")</f>
        <v>12</v>
      </c>
      <c r="Z11">
        <f ca="1">IF($B11=1,RANK(L11,L$8:L$25,$B$1)+COUNTIF(L$8:L11,L11)-1,"")</f>
        <v>6</v>
      </c>
      <c r="AB11">
        <f t="shared" ca="1" si="21"/>
        <v>8</v>
      </c>
      <c r="AC11">
        <f t="shared" ca="1" si="22"/>
        <v>5</v>
      </c>
      <c r="AD11">
        <f t="shared" ca="1" si="23"/>
        <v>3</v>
      </c>
      <c r="AE11">
        <f t="shared" ca="1" si="24"/>
        <v>8</v>
      </c>
      <c r="AF11">
        <f t="shared" ca="1" si="25"/>
        <v>10</v>
      </c>
      <c r="AG11">
        <f t="shared" ca="1" si="26"/>
        <v>13</v>
      </c>
      <c r="AI11" t="str">
        <f t="shared" ca="1" si="27"/>
        <v>El Salvador</v>
      </c>
      <c r="AJ11" t="str">
        <f t="shared" ca="1" si="28"/>
        <v>Colombia</v>
      </c>
      <c r="AK11" t="str">
        <f t="shared" ca="1" si="29"/>
        <v>Brazil</v>
      </c>
      <c r="AL11" t="str">
        <f t="shared" ca="1" si="30"/>
        <v>El Salvador</v>
      </c>
      <c r="AM11" t="str">
        <f t="shared" ca="1" si="31"/>
        <v>Mexico</v>
      </c>
      <c r="AN11" t="str">
        <f t="shared" ca="1" si="32"/>
        <v>Peru</v>
      </c>
      <c r="AP11">
        <f t="shared" ca="1" si="33"/>
        <v>59</v>
      </c>
      <c r="AQ11">
        <f t="shared" ca="1" si="34"/>
        <v>62.5</v>
      </c>
      <c r="AR11">
        <f t="shared" ca="1" si="35"/>
        <v>53.6</v>
      </c>
      <c r="AS11">
        <f t="shared" ca="1" si="36"/>
        <v>66.7</v>
      </c>
      <c r="AT11">
        <f t="shared" ca="1" si="37"/>
        <v>3</v>
      </c>
      <c r="AU11" s="203">
        <f t="shared" ca="1" si="38"/>
        <v>0.23519999999999999</v>
      </c>
      <c r="AV11" s="203"/>
      <c r="AW11" s="206">
        <f t="shared" ca="1" si="39"/>
        <v>4</v>
      </c>
      <c r="AX11" s="206">
        <f t="shared" ca="1" si="40"/>
        <v>4</v>
      </c>
      <c r="AY11" s="206">
        <f t="shared" ca="1" si="41"/>
        <v>4</v>
      </c>
      <c r="AZ11" s="206">
        <f t="shared" ca="1" si="42"/>
        <v>4</v>
      </c>
      <c r="BA11" s="206">
        <f t="shared" ca="1" si="43"/>
        <v>2</v>
      </c>
      <c r="BB11" s="206">
        <f t="shared" ca="1" si="44"/>
        <v>4</v>
      </c>
      <c r="BC11" s="206"/>
      <c r="BD11" s="186">
        <f t="shared" ca="1" si="118"/>
        <v>4</v>
      </c>
      <c r="BE11" s="186" t="str">
        <f t="shared" ca="1" si="119"/>
        <v>=4</v>
      </c>
      <c r="BF11" s="186">
        <f t="shared" ca="1" si="120"/>
        <v>4</v>
      </c>
      <c r="BG11" s="186" t="str">
        <f t="shared" ca="1" si="121"/>
        <v>=4</v>
      </c>
      <c r="BH11" s="186" t="str">
        <f t="shared" ca="1" si="122"/>
        <v>=2</v>
      </c>
      <c r="BI11" s="186">
        <f t="shared" ca="1" si="123"/>
        <v>4</v>
      </c>
      <c r="BK11">
        <f t="shared" ca="1" si="110"/>
        <v>61.5</v>
      </c>
      <c r="BL11">
        <f t="shared" ca="1" si="111"/>
        <v>50</v>
      </c>
      <c r="BM11">
        <f t="shared" ca="1" si="112"/>
        <v>62.1</v>
      </c>
      <c r="BN11">
        <f t="shared" ca="1" si="113"/>
        <v>66.7</v>
      </c>
      <c r="BO11">
        <f t="shared" ca="1" si="114"/>
        <v>2</v>
      </c>
      <c r="BP11">
        <f t="shared" ca="1" si="115"/>
        <v>0.2</v>
      </c>
      <c r="BR11">
        <f t="shared" ca="1" si="47"/>
        <v>4</v>
      </c>
      <c r="BS11">
        <f t="shared" ca="1" si="48"/>
        <v>8</v>
      </c>
      <c r="BT11">
        <f t="shared" ca="1" si="49"/>
        <v>2</v>
      </c>
      <c r="BU11">
        <f t="shared" ca="1" si="50"/>
        <v>5</v>
      </c>
      <c r="BV11">
        <f t="shared" ca="1" si="51"/>
        <v>5</v>
      </c>
      <c r="BW11">
        <f t="shared" ca="1" si="52"/>
        <v>4</v>
      </c>
      <c r="BY11">
        <f t="shared" ca="1" si="53"/>
        <v>-2.5</v>
      </c>
      <c r="BZ11">
        <f t="shared" ca="1" si="53"/>
        <v>12.5</v>
      </c>
      <c r="CA11">
        <f t="shared" ca="1" si="53"/>
        <v>-8.5</v>
      </c>
      <c r="CB11">
        <f t="shared" ca="1" si="53"/>
        <v>0</v>
      </c>
      <c r="CC11">
        <f t="shared" ca="1" si="53"/>
        <v>1</v>
      </c>
      <c r="CD11">
        <f t="shared" ca="1" si="53"/>
        <v>0</v>
      </c>
      <c r="CF11" s="206">
        <f t="shared" ca="1" si="54"/>
        <v>0</v>
      </c>
      <c r="CG11" s="206">
        <f t="shared" ca="1" si="54"/>
        <v>4</v>
      </c>
      <c r="CH11" s="206">
        <f t="shared" ca="1" si="54"/>
        <v>-2</v>
      </c>
      <c r="CI11" s="206">
        <f t="shared" ca="1" si="54"/>
        <v>1</v>
      </c>
      <c r="CJ11" s="206">
        <f t="shared" ca="1" si="54"/>
        <v>3</v>
      </c>
      <c r="CK11" s="206">
        <f t="shared" ca="1" si="54"/>
        <v>0</v>
      </c>
      <c r="CM11" t="str">
        <f t="shared" ca="1" si="55"/>
        <v>-2.5</v>
      </c>
      <c r="CN11" t="str">
        <f t="shared" ca="1" si="56"/>
        <v>+12.5</v>
      </c>
      <c r="CO11" t="str">
        <f t="shared" ca="1" si="56"/>
        <v>-8.5</v>
      </c>
      <c r="CP11" t="str">
        <f t="shared" ca="1" si="56"/>
        <v>-</v>
      </c>
      <c r="CQ11" t="str">
        <f t="shared" ca="1" si="116"/>
        <v>+1.0</v>
      </c>
      <c r="CR11" t="str">
        <f t="shared" ca="1" si="117"/>
        <v>-</v>
      </c>
      <c r="CT11">
        <f t="shared" ca="1" si="57"/>
        <v>-1</v>
      </c>
      <c r="CU11">
        <f t="shared" ca="1" si="58"/>
        <v>1</v>
      </c>
      <c r="CV11">
        <f t="shared" ca="1" si="58"/>
        <v>-1</v>
      </c>
      <c r="CW11">
        <f t="shared" ca="1" si="58"/>
        <v>0</v>
      </c>
      <c r="CX11">
        <f t="shared" ca="1" si="58"/>
        <v>1</v>
      </c>
      <c r="CY11">
        <f t="shared" ca="1" si="58"/>
        <v>0</v>
      </c>
      <c r="DA11" t="str">
        <f t="shared" ca="1" si="59"/>
        <v>-</v>
      </c>
      <c r="DB11" t="str">
        <f t="shared" ca="1" si="59"/>
        <v>+4</v>
      </c>
      <c r="DC11" t="str">
        <f t="shared" ca="1" si="59"/>
        <v>-2</v>
      </c>
      <c r="DD11" t="str">
        <f t="shared" ca="1" si="59"/>
        <v>+1</v>
      </c>
      <c r="DE11" t="str">
        <f t="shared" ca="1" si="59"/>
        <v>+3</v>
      </c>
      <c r="DF11" t="str">
        <f t="shared" ca="1" si="59"/>
        <v>-</v>
      </c>
      <c r="DH11">
        <f t="shared" ca="1" si="60"/>
        <v>0</v>
      </c>
      <c r="DI11">
        <f t="shared" ca="1" si="60"/>
        <v>1</v>
      </c>
      <c r="DJ11">
        <f t="shared" ca="1" si="60"/>
        <v>-1</v>
      </c>
      <c r="DK11">
        <f t="shared" ca="1" si="60"/>
        <v>1</v>
      </c>
      <c r="DL11">
        <f t="shared" ca="1" si="60"/>
        <v>1</v>
      </c>
      <c r="DM11">
        <f t="shared" ca="1" si="60"/>
        <v>0</v>
      </c>
      <c r="DO11">
        <f ca="1">RANK(BY11,BY$8:BY$22)+COUNTIF(BY11:BY$22,BY11)-1</f>
        <v>10</v>
      </c>
      <c r="DP11">
        <f ca="1">RANK(BZ11,BZ$8:BZ$22)+COUNTIF(BZ11:BZ$22,BZ11)-1</f>
        <v>1</v>
      </c>
      <c r="DQ11">
        <f ca="1">RANK(CA11,CA$8:CA$22)+COUNTIF(CA11:CA$22,CA11)-1</f>
        <v>14</v>
      </c>
      <c r="DR11">
        <f ca="1">RANK(CB11,CB$8:CB$22)+COUNTIF(CB11:CB$22,CB11)-1</f>
        <v>9</v>
      </c>
      <c r="DS11">
        <f ca="1">RANK(CC11,CC$8:CC$22)+COUNTIF(CC11:CC$22,CC11)-1</f>
        <v>2</v>
      </c>
      <c r="DT11">
        <f ca="1">RANK(CD11,CD$8:CD$22)+COUNTIF(CD11:CD$22,CD11)-1</f>
        <v>12</v>
      </c>
      <c r="DV11">
        <f t="shared" ca="1" si="61"/>
        <v>1</v>
      </c>
      <c r="DW11">
        <f t="shared" ca="1" si="62"/>
        <v>15</v>
      </c>
      <c r="DX11">
        <f t="shared" ca="1" si="63"/>
        <v>13</v>
      </c>
      <c r="DY11">
        <f t="shared" ca="1" si="64"/>
        <v>10</v>
      </c>
      <c r="DZ11">
        <f t="shared" ca="1" si="65"/>
        <v>15</v>
      </c>
      <c r="EA11">
        <f t="shared" ca="1" si="66"/>
        <v>12</v>
      </c>
      <c r="EC11" t="str">
        <f t="shared" ca="1" si="67"/>
        <v>Peru</v>
      </c>
      <c r="ED11" t="str">
        <f t="shared" ca="1" si="68"/>
        <v>Argentina</v>
      </c>
      <c r="EE11" t="str">
        <f t="shared" ca="1" si="69"/>
        <v>Paraguay</v>
      </c>
      <c r="EF11" t="str">
        <f t="shared" ca="1" si="70"/>
        <v>Argentina</v>
      </c>
      <c r="EG11" t="str">
        <f t="shared" ca="1" si="71"/>
        <v>Venezuela</v>
      </c>
      <c r="EH11" t="str">
        <f t="shared" ca="1" si="72"/>
        <v>Uruguay</v>
      </c>
      <c r="EJ11">
        <f t="shared" ca="1" si="73"/>
        <v>76.599999999999994</v>
      </c>
      <c r="EK11">
        <f t="shared" ca="1" si="74"/>
        <v>18.8</v>
      </c>
      <c r="EL11">
        <f t="shared" ca="1" si="75"/>
        <v>39.700000000000003</v>
      </c>
      <c r="EM11">
        <f t="shared" ca="1" si="76"/>
        <v>33.299999999999997</v>
      </c>
      <c r="EN11">
        <f t="shared" ca="1" si="77"/>
        <v>1</v>
      </c>
      <c r="EO11">
        <f t="shared" ca="1" si="78"/>
        <v>1.8499999999999999E-2</v>
      </c>
      <c r="EQ11">
        <f t="shared" ca="1" si="79"/>
        <v>74.099999999999994</v>
      </c>
      <c r="ER11">
        <f t="shared" ca="1" si="80"/>
        <v>18.8</v>
      </c>
      <c r="ES11">
        <f t="shared" ca="1" si="81"/>
        <v>39.6</v>
      </c>
      <c r="ET11">
        <f t="shared" ca="1" si="82"/>
        <v>25</v>
      </c>
      <c r="EU11">
        <f t="shared" ca="1" si="83"/>
        <v>1</v>
      </c>
      <c r="EV11">
        <f t="shared" ca="1" si="84"/>
        <v>0</v>
      </c>
      <c r="EX11" t="str">
        <f t="shared" ca="1" si="85"/>
        <v>+2.5</v>
      </c>
      <c r="EY11" t="str">
        <f t="shared" ca="1" si="86"/>
        <v>-</v>
      </c>
      <c r="EZ11" t="str">
        <f t="shared" ca="1" si="87"/>
        <v>+0.1</v>
      </c>
      <c r="FA11" t="str">
        <f t="shared" ca="1" si="88"/>
        <v>+8.3</v>
      </c>
      <c r="FB11" t="str">
        <f t="shared" ca="1" si="89"/>
        <v>-</v>
      </c>
      <c r="FE11">
        <f t="shared" ca="1" si="90"/>
        <v>1</v>
      </c>
      <c r="FF11">
        <f t="shared" ca="1" si="91"/>
        <v>0</v>
      </c>
      <c r="FG11">
        <f t="shared" ca="1" si="92"/>
        <v>1</v>
      </c>
      <c r="FH11">
        <f t="shared" ca="1" si="93"/>
        <v>1</v>
      </c>
      <c r="FI11">
        <f t="shared" ca="1" si="94"/>
        <v>0</v>
      </c>
      <c r="FJ11">
        <f t="shared" ca="1" si="95"/>
        <v>0</v>
      </c>
      <c r="FL11" t="str">
        <f t="shared" ca="1" si="96"/>
        <v>+1</v>
      </c>
      <c r="FM11" t="str">
        <f t="shared" ca="1" si="97"/>
        <v>-</v>
      </c>
      <c r="FN11" t="str">
        <f t="shared" ca="1" si="98"/>
        <v>+1</v>
      </c>
      <c r="FO11" t="str">
        <f t="shared" ca="1" si="99"/>
        <v>+3</v>
      </c>
      <c r="FP11" t="str">
        <f t="shared" ca="1" si="100"/>
        <v>-1</v>
      </c>
      <c r="FQ11" t="str">
        <f t="shared" ca="1" si="101"/>
        <v>-</v>
      </c>
      <c r="FS11">
        <f t="shared" ca="1" si="102"/>
        <v>1</v>
      </c>
      <c r="FT11">
        <f t="shared" ca="1" si="103"/>
        <v>0</v>
      </c>
      <c r="FU11">
        <f t="shared" ca="1" si="104"/>
        <v>1</v>
      </c>
      <c r="FV11">
        <f t="shared" ca="1" si="105"/>
        <v>1</v>
      </c>
      <c r="FW11">
        <f t="shared" ca="1" si="106"/>
        <v>-1</v>
      </c>
      <c r="FX11">
        <f t="shared" ca="1" si="107"/>
        <v>0</v>
      </c>
      <c r="FZ11">
        <f t="shared" ca="1" si="108"/>
        <v>3</v>
      </c>
    </row>
    <row r="12" spans="1:182">
      <c r="A12">
        <v>5</v>
      </c>
      <c r="B12">
        <f ca="1">uxb_countries!D7</f>
        <v>1</v>
      </c>
      <c r="C12" t="str">
        <f ca="1">uxb_countries!B7</f>
        <v>Colombia</v>
      </c>
      <c r="D12" t="str">
        <f ca="1">uxb_countries!A7</f>
        <v>CO</v>
      </c>
      <c r="E12" s="4">
        <f ca="1">MATCH(D12,uxb_scores_2007!$J$2:$AC$2,0)</f>
        <v>5</v>
      </c>
      <c r="G12" s="3">
        <f ca="1">IF($B12=0,"",ROUND(OFFSET(uxb_scores_2008!$I$2,G$6,$E12),2))</f>
        <v>58.61</v>
      </c>
      <c r="H12" s="3">
        <f ca="1">IF($B12=0,"",ROUND(OFFSET(uxb_scores_2008!$I$2,H$6,$E12),2))</f>
        <v>62.5</v>
      </c>
      <c r="I12" s="3">
        <f ca="1">IF($B12=0,"",ROUND(OFFSET(uxb_scores_2008!$I$2,I$6,$E12),2))</f>
        <v>51.39</v>
      </c>
      <c r="J12" s="3">
        <f ca="1">IF($B12=0,"",ROUND(OFFSET(uxb_scores_2008!$I$2,J$6,$E12),2))</f>
        <v>58.33</v>
      </c>
      <c r="K12" s="3">
        <f ca="1">IF($B12=0,"",ROUND(OFFSET(uxb_scores_2008!$I$2,K$6,$E12),2))</f>
        <v>2</v>
      </c>
      <c r="L12">
        <f ca="1">IF($B12=0,"",ROUND(OFFSET(uxb_scores_2008!$I$2,L$6,$E12),4))</f>
        <v>7.17E-2</v>
      </c>
      <c r="N12">
        <f ca="1">IF($B12=0,"",ROUND(OFFSET(uxb_scores_2007!$I$2,G$6,$E12),2))</f>
        <v>46.08</v>
      </c>
      <c r="O12">
        <f ca="1">IF($B12=0,"",ROUND(OFFSET(uxb_scores_2007!$I$2,H$6,$E12),2))</f>
        <v>50</v>
      </c>
      <c r="P12">
        <f ca="1">IF($B12=0,"",ROUND(OFFSET(uxb_scores_2007!$I$2,I$6,$E12),2))</f>
        <v>47.08</v>
      </c>
      <c r="Q12">
        <f ca="1">IF($B12=0,"",ROUND(OFFSET(uxb_scores_2007!$I$2,J$6,$E12),2))</f>
        <v>41.67</v>
      </c>
      <c r="R12">
        <f ca="1">IF($B12=0,"",ROUND(OFFSET(uxb_scores_2007!$I$2,K$6,$E12),2))</f>
        <v>1</v>
      </c>
      <c r="S12">
        <f ca="1">IF($B12=0,"",ROUND(OFFSET(uxb_scores_2007!$I$2,L$6,$E12),2))</f>
        <v>7.0000000000000007E-2</v>
      </c>
      <c r="U12">
        <f ca="1">IF($B12=1,RANK(G12,G$8:G$25,$B$1)+COUNTIF(G$8:G12,G12)-1,"")</f>
        <v>5</v>
      </c>
      <c r="V12">
        <f ca="1">IF($B12=1,RANK(H12,H$8:H$25,$B$1)+COUNTIF(H$8:H12,H12)-1,"")</f>
        <v>4</v>
      </c>
      <c r="W12">
        <f ca="1">IF($B12=1,RANK(I12,I$8:I$25,$B$1)+COUNTIF(I$8:I12,I12)-1,"")</f>
        <v>5</v>
      </c>
      <c r="X12">
        <f ca="1">IF($B12=1,RANK(J12,J$8:J$25,$B$1)+COUNTIF(J$8:J12,J12)-1,"")</f>
        <v>6</v>
      </c>
      <c r="Y12">
        <f ca="1">IF($B12=1,RANK(K12,K$8:K$25,$B$1)+COUNTIF(K$8:K12,K12)-1,"")</f>
        <v>6</v>
      </c>
      <c r="Z12">
        <f ca="1">IF($B12=1,RANK(L12,L$8:L$25,$B$1)+COUNTIF(L$8:L12,L12)-1,"")</f>
        <v>10</v>
      </c>
      <c r="AB12">
        <f t="shared" ca="1" si="21"/>
        <v>5</v>
      </c>
      <c r="AC12">
        <f t="shared" ca="1" si="22"/>
        <v>12</v>
      </c>
      <c r="AD12">
        <f t="shared" ca="1" si="23"/>
        <v>5</v>
      </c>
      <c r="AE12">
        <f t="shared" ca="1" si="24"/>
        <v>11</v>
      </c>
      <c r="AF12">
        <f t="shared" ca="1" si="25"/>
        <v>3</v>
      </c>
      <c r="AG12">
        <f t="shared" ca="1" si="26"/>
        <v>9</v>
      </c>
      <c r="AI12" t="str">
        <f t="shared" ca="1" si="27"/>
        <v>Colombia</v>
      </c>
      <c r="AJ12" t="str">
        <f t="shared" ca="1" si="28"/>
        <v>Paraguay</v>
      </c>
      <c r="AK12" t="str">
        <f t="shared" ca="1" si="29"/>
        <v>Colombia</v>
      </c>
      <c r="AL12" t="str">
        <f t="shared" ca="1" si="30"/>
        <v>Nicaragua</v>
      </c>
      <c r="AM12" t="str">
        <f t="shared" ca="1" si="31"/>
        <v>Brazil</v>
      </c>
      <c r="AN12" t="str">
        <f t="shared" ca="1" si="32"/>
        <v>Guatemala</v>
      </c>
      <c r="AP12">
        <f t="shared" ca="1" si="33"/>
        <v>58.6</v>
      </c>
      <c r="AQ12">
        <f t="shared" ca="1" si="34"/>
        <v>62.5</v>
      </c>
      <c r="AR12">
        <f t="shared" ca="1" si="35"/>
        <v>51.4</v>
      </c>
      <c r="AS12">
        <f t="shared" ca="1" si="36"/>
        <v>66.7</v>
      </c>
      <c r="AT12">
        <f t="shared" ca="1" si="37"/>
        <v>2</v>
      </c>
      <c r="AU12" s="203">
        <f t="shared" ca="1" si="38"/>
        <v>0.22700000000000001</v>
      </c>
      <c r="AV12" s="203"/>
      <c r="AW12" s="206">
        <f t="shared" ca="1" si="39"/>
        <v>5</v>
      </c>
      <c r="AX12" s="206">
        <f t="shared" ca="1" si="40"/>
        <v>4</v>
      </c>
      <c r="AY12" s="206">
        <f t="shared" ca="1" si="41"/>
        <v>5</v>
      </c>
      <c r="AZ12" s="206">
        <f t="shared" ca="1" si="42"/>
        <v>4</v>
      </c>
      <c r="BA12" s="206">
        <f t="shared" ca="1" si="43"/>
        <v>5</v>
      </c>
      <c r="BB12" s="206">
        <f t="shared" ca="1" si="44"/>
        <v>5</v>
      </c>
      <c r="BC12" s="206"/>
      <c r="BD12" s="186">
        <f t="shared" ca="1" si="118"/>
        <v>5</v>
      </c>
      <c r="BE12" s="186" t="str">
        <f t="shared" ca="1" si="119"/>
        <v>=4</v>
      </c>
      <c r="BF12" s="186">
        <f t="shared" ca="1" si="120"/>
        <v>5</v>
      </c>
      <c r="BG12" s="186" t="str">
        <f t="shared" ca="1" si="121"/>
        <v>=4</v>
      </c>
      <c r="BH12" s="186" t="str">
        <f t="shared" ca="1" si="122"/>
        <v>=5</v>
      </c>
      <c r="BI12" s="186">
        <f t="shared" ca="1" si="123"/>
        <v>5</v>
      </c>
      <c r="BK12">
        <f t="shared" ca="1" si="110"/>
        <v>46.1</v>
      </c>
      <c r="BL12">
        <f t="shared" ca="1" si="111"/>
        <v>62.5</v>
      </c>
      <c r="BM12">
        <f t="shared" ca="1" si="112"/>
        <v>47.1</v>
      </c>
      <c r="BN12">
        <f t="shared" ca="1" si="113"/>
        <v>58.3</v>
      </c>
      <c r="BO12">
        <f t="shared" ca="1" si="114"/>
        <v>2</v>
      </c>
      <c r="BP12">
        <f t="shared" ca="1" si="115"/>
        <v>0.2</v>
      </c>
      <c r="BR12">
        <f t="shared" ca="1" si="47"/>
        <v>10</v>
      </c>
      <c r="BS12">
        <f t="shared" ca="1" si="48"/>
        <v>4</v>
      </c>
      <c r="BT12">
        <f t="shared" ca="1" si="49"/>
        <v>7</v>
      </c>
      <c r="BU12">
        <f t="shared" ca="1" si="50"/>
        <v>6</v>
      </c>
      <c r="BV12">
        <f t="shared" ca="1" si="51"/>
        <v>5</v>
      </c>
      <c r="BW12">
        <f t="shared" ca="1" si="52"/>
        <v>4</v>
      </c>
      <c r="BY12">
        <f t="shared" ca="1" si="53"/>
        <v>12.5</v>
      </c>
      <c r="BZ12">
        <f t="shared" ca="1" si="53"/>
        <v>0</v>
      </c>
      <c r="CA12">
        <f t="shared" ca="1" si="53"/>
        <v>4.3</v>
      </c>
      <c r="CB12">
        <f t="shared" ca="1" si="53"/>
        <v>8.4</v>
      </c>
      <c r="CC12">
        <f t="shared" ca="1" si="53"/>
        <v>0</v>
      </c>
      <c r="CD12">
        <f t="shared" ca="1" si="53"/>
        <v>0</v>
      </c>
      <c r="CF12" s="206">
        <f t="shared" ca="1" si="54"/>
        <v>5</v>
      </c>
      <c r="CG12" s="206">
        <f t="shared" ca="1" si="54"/>
        <v>0</v>
      </c>
      <c r="CH12" s="206">
        <f t="shared" ca="1" si="54"/>
        <v>2</v>
      </c>
      <c r="CI12" s="206">
        <f t="shared" ca="1" si="54"/>
        <v>2</v>
      </c>
      <c r="CJ12" s="206">
        <f t="shared" ca="1" si="54"/>
        <v>0</v>
      </c>
      <c r="CK12" s="206">
        <f t="shared" ca="1" si="54"/>
        <v>-1</v>
      </c>
      <c r="CM12" t="str">
        <f t="shared" ca="1" si="55"/>
        <v>+12.5</v>
      </c>
      <c r="CN12" t="str">
        <f t="shared" ca="1" si="56"/>
        <v>-</v>
      </c>
      <c r="CO12" t="str">
        <f t="shared" ca="1" si="56"/>
        <v>+4.3</v>
      </c>
      <c r="CP12" t="str">
        <f t="shared" ca="1" si="56"/>
        <v>+8.4</v>
      </c>
      <c r="CQ12" t="str">
        <f t="shared" ca="1" si="116"/>
        <v>-</v>
      </c>
      <c r="CR12" t="str">
        <f t="shared" ca="1" si="117"/>
        <v>-</v>
      </c>
      <c r="CT12">
        <f t="shared" ca="1" si="57"/>
        <v>1</v>
      </c>
      <c r="CU12">
        <f t="shared" ca="1" si="58"/>
        <v>0</v>
      </c>
      <c r="CV12">
        <f t="shared" ca="1" si="58"/>
        <v>1</v>
      </c>
      <c r="CW12">
        <f t="shared" ca="1" si="58"/>
        <v>1</v>
      </c>
      <c r="CX12">
        <f t="shared" ca="1" si="58"/>
        <v>0</v>
      </c>
      <c r="CY12">
        <f t="shared" ca="1" si="58"/>
        <v>0</v>
      </c>
      <c r="DA12" t="str">
        <f t="shared" ca="1" si="59"/>
        <v>+5</v>
      </c>
      <c r="DB12" t="str">
        <f t="shared" ca="1" si="59"/>
        <v>-</v>
      </c>
      <c r="DC12" t="str">
        <f t="shared" ca="1" si="59"/>
        <v>+2</v>
      </c>
      <c r="DD12" t="str">
        <f t="shared" ca="1" si="59"/>
        <v>+2</v>
      </c>
      <c r="DE12" t="str">
        <f t="shared" ca="1" si="59"/>
        <v>-</v>
      </c>
      <c r="DF12" t="str">
        <f t="shared" ca="1" si="59"/>
        <v>-1</v>
      </c>
      <c r="DH12">
        <f t="shared" ca="1" si="60"/>
        <v>1</v>
      </c>
      <c r="DI12">
        <f t="shared" ca="1" si="60"/>
        <v>0</v>
      </c>
      <c r="DJ12">
        <f t="shared" ca="1" si="60"/>
        <v>1</v>
      </c>
      <c r="DK12">
        <f t="shared" ca="1" si="60"/>
        <v>1</v>
      </c>
      <c r="DL12">
        <f t="shared" ca="1" si="60"/>
        <v>0</v>
      </c>
      <c r="DM12">
        <f t="shared" ca="1" si="60"/>
        <v>-1</v>
      </c>
      <c r="DO12">
        <f ca="1">RANK(BY12,BY$8:BY$22)+COUNTIF(BY12:BY$22,BY12)-1</f>
        <v>1</v>
      </c>
      <c r="DP12">
        <f ca="1">RANK(BZ12,BZ$8:BZ$22)+COUNTIF(BZ12:BZ$22,BZ12)-1</f>
        <v>9</v>
      </c>
      <c r="DQ12">
        <f ca="1">RANK(CA12,CA$8:CA$22)+COUNTIF(CA12:CA$22,CA12)-1</f>
        <v>1</v>
      </c>
      <c r="DR12">
        <f ca="1">RANK(CB12,CB$8:CB$22)+COUNTIF(CB12:CB$22,CB12)-1</f>
        <v>3</v>
      </c>
      <c r="DS12">
        <f ca="1">RANK(CC12,CC$8:CC$22)+COUNTIF(CC12:CC$22,CC12)-1</f>
        <v>12</v>
      </c>
      <c r="DT12">
        <f ca="1">RANK(CD12,CD$8:CD$22)+COUNTIF(CD12:CD$22,CD12)-1</f>
        <v>11</v>
      </c>
      <c r="DV12">
        <f t="shared" ca="1" si="61"/>
        <v>13</v>
      </c>
      <c r="DW12">
        <f t="shared" ca="1" si="62"/>
        <v>11</v>
      </c>
      <c r="DX12">
        <f t="shared" ca="1" si="63"/>
        <v>10</v>
      </c>
      <c r="DY12">
        <f t="shared" ca="1" si="64"/>
        <v>1</v>
      </c>
      <c r="DZ12">
        <f t="shared" ca="1" si="65"/>
        <v>14</v>
      </c>
      <c r="EA12">
        <f t="shared" ca="1" si="66"/>
        <v>11</v>
      </c>
      <c r="EC12" t="str">
        <f t="shared" ca="1" si="67"/>
        <v>Argentina</v>
      </c>
      <c r="ED12" t="str">
        <f t="shared" ca="1" si="68"/>
        <v>Brazil</v>
      </c>
      <c r="EE12" t="str">
        <f t="shared" ca="1" si="69"/>
        <v>Venezuela</v>
      </c>
      <c r="EF12" t="str">
        <f t="shared" ca="1" si="70"/>
        <v>Ecuador</v>
      </c>
      <c r="EG12" t="str">
        <f t="shared" ca="1" si="71"/>
        <v>Uruguay</v>
      </c>
      <c r="EH12" t="str">
        <f t="shared" ca="1" si="72"/>
        <v>Paraguay</v>
      </c>
      <c r="EJ12">
        <f t="shared" ca="1" si="73"/>
        <v>28.5</v>
      </c>
      <c r="EK12">
        <f t="shared" ca="1" si="74"/>
        <v>43.8</v>
      </c>
      <c r="EL12">
        <f t="shared" ca="1" si="75"/>
        <v>41.4</v>
      </c>
      <c r="EM12">
        <f t="shared" ca="1" si="76"/>
        <v>83.3</v>
      </c>
      <c r="EN12">
        <f t="shared" ca="1" si="77"/>
        <v>1</v>
      </c>
      <c r="EO12">
        <f t="shared" ca="1" si="78"/>
        <v>6.1800000000000001E-2</v>
      </c>
      <c r="EQ12">
        <f t="shared" ca="1" si="79"/>
        <v>26.8</v>
      </c>
      <c r="ER12">
        <f t="shared" ca="1" si="80"/>
        <v>43.8</v>
      </c>
      <c r="ES12">
        <f t="shared" ca="1" si="81"/>
        <v>41.3</v>
      </c>
      <c r="ET12">
        <f t="shared" ca="1" si="82"/>
        <v>75</v>
      </c>
      <c r="EU12">
        <f t="shared" ca="1" si="83"/>
        <v>1</v>
      </c>
      <c r="EV12">
        <f t="shared" ca="1" si="84"/>
        <v>0.1</v>
      </c>
      <c r="EX12" t="str">
        <f t="shared" ca="1" si="85"/>
        <v>+1.7</v>
      </c>
      <c r="EY12" t="str">
        <f t="shared" ca="1" si="86"/>
        <v>-</v>
      </c>
      <c r="EZ12" t="str">
        <f t="shared" ca="1" si="87"/>
        <v>+0.1</v>
      </c>
      <c r="FA12" t="str">
        <f t="shared" ca="1" si="88"/>
        <v>+8.3</v>
      </c>
      <c r="FB12" t="str">
        <f t="shared" ca="1" si="89"/>
        <v>-</v>
      </c>
      <c r="FE12">
        <f t="shared" ca="1" si="90"/>
        <v>1</v>
      </c>
      <c r="FF12">
        <f t="shared" ca="1" si="91"/>
        <v>0</v>
      </c>
      <c r="FG12">
        <f t="shared" ca="1" si="92"/>
        <v>1</v>
      </c>
      <c r="FH12">
        <f t="shared" ca="1" si="93"/>
        <v>1</v>
      </c>
      <c r="FI12">
        <f t="shared" ca="1" si="94"/>
        <v>0</v>
      </c>
      <c r="FJ12">
        <f t="shared" ca="1" si="95"/>
        <v>0</v>
      </c>
      <c r="FL12" t="str">
        <f t="shared" ca="1" si="96"/>
        <v>+2</v>
      </c>
      <c r="FM12" t="str">
        <f t="shared" ca="1" si="97"/>
        <v>+1</v>
      </c>
      <c r="FN12" t="str">
        <f t="shared" ca="1" si="98"/>
        <v>-</v>
      </c>
      <c r="FO12" t="str">
        <f t="shared" ca="1" si="99"/>
        <v>-</v>
      </c>
      <c r="FP12" t="str">
        <f t="shared" ca="1" si="100"/>
        <v>-1</v>
      </c>
      <c r="FQ12" t="str">
        <f t="shared" ca="1" si="101"/>
        <v>-3</v>
      </c>
      <c r="FS12">
        <f t="shared" ca="1" si="102"/>
        <v>1</v>
      </c>
      <c r="FT12">
        <f t="shared" ca="1" si="103"/>
        <v>1</v>
      </c>
      <c r="FU12">
        <f t="shared" ca="1" si="104"/>
        <v>0</v>
      </c>
      <c r="FV12">
        <f t="shared" ca="1" si="105"/>
        <v>0</v>
      </c>
      <c r="FW12">
        <f t="shared" ca="1" si="106"/>
        <v>-1</v>
      </c>
      <c r="FX12">
        <f t="shared" ca="1" si="107"/>
        <v>-1</v>
      </c>
      <c r="FZ12">
        <f t="shared" ca="1" si="108"/>
        <v>-3</v>
      </c>
    </row>
    <row r="13" spans="1:182">
      <c r="A13">
        <v>6</v>
      </c>
      <c r="B13">
        <f ca="1">uxb_countries!D9</f>
        <v>1</v>
      </c>
      <c r="C13" t="str">
        <f ca="1">uxb_countries!B9</f>
        <v>Dominican Rep</v>
      </c>
      <c r="D13" t="str">
        <f ca="1">uxb_countries!A9</f>
        <v>DR</v>
      </c>
      <c r="E13" s="4">
        <f ca="1">MATCH(D13,uxb_scores_2007!$J$2:$AC$2,0)</f>
        <v>7</v>
      </c>
      <c r="G13" s="3">
        <f ca="1">IF($B13=0,"",ROUND(OFFSET(uxb_scores_2008!$I$2,G$6,$E13),2))</f>
        <v>48</v>
      </c>
      <c r="H13" s="3">
        <f ca="1">IF($B13=0,"",ROUND(OFFSET(uxb_scores_2008!$I$2,H$6,$E13),2))</f>
        <v>50</v>
      </c>
      <c r="I13" s="3">
        <f ca="1">IF($B13=0,"",ROUND(OFFSET(uxb_scores_2008!$I$2,I$6,$E13),2))</f>
        <v>40</v>
      </c>
      <c r="J13" s="3">
        <f ca="1">IF($B13=0,"",ROUND(OFFSET(uxb_scores_2008!$I$2,J$6,$E13),2))</f>
        <v>50</v>
      </c>
      <c r="K13" s="3">
        <f ca="1">IF($B13=0,"",ROUND(OFFSET(uxb_scores_2008!$I$2,K$6,$E13),2))</f>
        <v>2</v>
      </c>
      <c r="L13">
        <f ca="1">IF($B13=0,"",ROUND(OFFSET(uxb_scores_2008!$I$2,L$6,$E13),4))</f>
        <v>0.1038</v>
      </c>
      <c r="N13">
        <f ca="1">IF($B13=0,"",ROUND(OFFSET(uxb_scores_2007!$I$2,G$6,$E13),2))</f>
        <v>57.5</v>
      </c>
      <c r="O13">
        <f ca="1">IF($B13=0,"",ROUND(OFFSET(uxb_scores_2007!$I$2,H$6,$E13),2))</f>
        <v>50</v>
      </c>
      <c r="P13">
        <f ca="1">IF($B13=0,"",ROUND(OFFSET(uxb_scores_2007!$I$2,I$6,$E13),2))</f>
        <v>37.5</v>
      </c>
      <c r="Q13">
        <f ca="1">IF($B13=0,"",ROUND(OFFSET(uxb_scores_2007!$I$2,J$6,$E13),2))</f>
        <v>75</v>
      </c>
      <c r="R13">
        <f ca="1">IF($B13=0,"",ROUND(OFFSET(uxb_scores_2007!$I$2,K$6,$E13),2))</f>
        <v>2</v>
      </c>
      <c r="S13">
        <f ca="1">IF($B13=0,"",ROUND(OFFSET(uxb_scores_2007!$I$2,L$6,$E13),2))</f>
        <v>0.1</v>
      </c>
      <c r="U13">
        <f ca="1">IF($B13=1,RANK(G13,G$8:G$25,$B$1)+COUNTIF(G$8:G13,G13)-1,"")</f>
        <v>9</v>
      </c>
      <c r="V13">
        <f ca="1">IF($B13=1,RANK(H13,H$8:H$25,$B$1)+COUNTIF(H$8:H13,H13)-1,"")</f>
        <v>10</v>
      </c>
      <c r="W13">
        <f ca="1">IF($B13=1,RANK(I13,I$8:I$25,$B$1)+COUNTIF(I$8:I13,I13)-1,"")</f>
        <v>12</v>
      </c>
      <c r="X13">
        <f ca="1">IF($B13=1,RANK(J13,J$8:J$25,$B$1)+COUNTIF(J$8:J13,J13)-1,"")</f>
        <v>8</v>
      </c>
      <c r="Y13">
        <f ca="1">IF($B13=1,RANK(K13,K$8:K$25,$B$1)+COUNTIF(K$8:K13,K13)-1,"")</f>
        <v>7</v>
      </c>
      <c r="Z13">
        <f ca="1">IF($B13=1,RANK(L13,L$8:L$25,$B$1)+COUNTIF(L$8:L13,L13)-1,"")</f>
        <v>9</v>
      </c>
      <c r="AB13">
        <f t="shared" ca="1" si="21"/>
        <v>11</v>
      </c>
      <c r="AC13">
        <f t="shared" ca="1" si="22"/>
        <v>8</v>
      </c>
      <c r="AD13">
        <f t="shared" ca="1" si="23"/>
        <v>8</v>
      </c>
      <c r="AE13">
        <f t="shared" ca="1" si="24"/>
        <v>5</v>
      </c>
      <c r="AF13">
        <f t="shared" ca="1" si="25"/>
        <v>5</v>
      </c>
      <c r="AG13">
        <f t="shared" ca="1" si="26"/>
        <v>4</v>
      </c>
      <c r="AI13" t="str">
        <f t="shared" ca="1" si="27"/>
        <v>Nicaragua</v>
      </c>
      <c r="AJ13" t="str">
        <f t="shared" ca="1" si="28"/>
        <v>El Salvador</v>
      </c>
      <c r="AK13" t="str">
        <f t="shared" ca="1" si="29"/>
        <v>El Salvador</v>
      </c>
      <c r="AL13" t="str">
        <f t="shared" ca="1" si="30"/>
        <v>Colombia</v>
      </c>
      <c r="AM13" t="str">
        <f t="shared" ca="1" si="31"/>
        <v>Colombia</v>
      </c>
      <c r="AN13" t="str">
        <f t="shared" ca="1" si="32"/>
        <v>Chile</v>
      </c>
      <c r="AP13">
        <f t="shared" ca="1" si="33"/>
        <v>58</v>
      </c>
      <c r="AQ13">
        <f t="shared" ca="1" si="34"/>
        <v>56.3</v>
      </c>
      <c r="AR13">
        <f t="shared" ca="1" si="35"/>
        <v>49.2</v>
      </c>
      <c r="AS13">
        <f t="shared" ca="1" si="36"/>
        <v>58.3</v>
      </c>
      <c r="AT13">
        <f t="shared" ca="1" si="37"/>
        <v>2</v>
      </c>
      <c r="AU13" s="203">
        <f t="shared" ca="1" si="38"/>
        <v>0.19900000000000001</v>
      </c>
      <c r="AV13" s="203"/>
      <c r="AW13" s="206">
        <f t="shared" ca="1" si="39"/>
        <v>6</v>
      </c>
      <c r="AX13" s="206">
        <f t="shared" ca="1" si="40"/>
        <v>6</v>
      </c>
      <c r="AY13" s="206">
        <f t="shared" ca="1" si="41"/>
        <v>6</v>
      </c>
      <c r="AZ13" s="206">
        <f t="shared" ca="1" si="42"/>
        <v>6</v>
      </c>
      <c r="BA13" s="206">
        <f t="shared" ca="1" si="43"/>
        <v>5</v>
      </c>
      <c r="BB13" s="206">
        <f t="shared" ca="1" si="44"/>
        <v>6</v>
      </c>
      <c r="BC13" s="206"/>
      <c r="BD13" s="186">
        <f t="shared" ca="1" si="118"/>
        <v>6</v>
      </c>
      <c r="BE13" s="186" t="str">
        <f t="shared" ca="1" si="119"/>
        <v>=6</v>
      </c>
      <c r="BF13" s="186">
        <f t="shared" ca="1" si="120"/>
        <v>6</v>
      </c>
      <c r="BG13" s="186" t="str">
        <f t="shared" ca="1" si="121"/>
        <v>=6</v>
      </c>
      <c r="BH13" s="186" t="str">
        <f t="shared" ca="1" si="122"/>
        <v>=5</v>
      </c>
      <c r="BI13" s="186">
        <f t="shared" ca="1" si="123"/>
        <v>6</v>
      </c>
      <c r="BK13">
        <f t="shared" ca="1" si="110"/>
        <v>53.8</v>
      </c>
      <c r="BL13">
        <f t="shared" ca="1" si="111"/>
        <v>62.5</v>
      </c>
      <c r="BM13">
        <f t="shared" ca="1" si="112"/>
        <v>49.2</v>
      </c>
      <c r="BN13">
        <f t="shared" ca="1" si="113"/>
        <v>41.7</v>
      </c>
      <c r="BO13">
        <f t="shared" ca="1" si="114"/>
        <v>1</v>
      </c>
      <c r="BP13">
        <f t="shared" ca="1" si="115"/>
        <v>0.2</v>
      </c>
      <c r="BR13">
        <f t="shared" ca="1" si="47"/>
        <v>6</v>
      </c>
      <c r="BS13">
        <f t="shared" ca="1" si="48"/>
        <v>4</v>
      </c>
      <c r="BT13">
        <f t="shared" ca="1" si="49"/>
        <v>6</v>
      </c>
      <c r="BU13">
        <f t="shared" ca="1" si="50"/>
        <v>8</v>
      </c>
      <c r="BV13">
        <f t="shared" ca="1" si="51"/>
        <v>10</v>
      </c>
      <c r="BW13">
        <f t="shared" ca="1" si="52"/>
        <v>4</v>
      </c>
      <c r="BY13">
        <f t="shared" ca="1" si="53"/>
        <v>4.2</v>
      </c>
      <c r="BZ13">
        <f t="shared" ca="1" si="53"/>
        <v>-6.2</v>
      </c>
      <c r="CA13">
        <f t="shared" ca="1" si="53"/>
        <v>0</v>
      </c>
      <c r="CB13">
        <f t="shared" ca="1" si="53"/>
        <v>16.600000000000001</v>
      </c>
      <c r="CC13">
        <f t="shared" ca="1" si="53"/>
        <v>1</v>
      </c>
      <c r="CD13">
        <f t="shared" ca="1" si="53"/>
        <v>0</v>
      </c>
      <c r="CF13" s="206">
        <f t="shared" ca="1" si="54"/>
        <v>0</v>
      </c>
      <c r="CG13" s="206">
        <f t="shared" ca="1" si="54"/>
        <v>-2</v>
      </c>
      <c r="CH13" s="206">
        <f t="shared" ca="1" si="54"/>
        <v>0</v>
      </c>
      <c r="CI13" s="206">
        <f t="shared" ca="1" si="54"/>
        <v>2</v>
      </c>
      <c r="CJ13" s="206">
        <f t="shared" ca="1" si="54"/>
        <v>5</v>
      </c>
      <c r="CK13" s="206">
        <f t="shared" ca="1" si="54"/>
        <v>-2</v>
      </c>
      <c r="CM13" t="str">
        <f t="shared" ca="1" si="55"/>
        <v>+4.2</v>
      </c>
      <c r="CN13" t="str">
        <f t="shared" ca="1" si="56"/>
        <v>-6.2</v>
      </c>
      <c r="CO13" t="str">
        <f t="shared" ca="1" si="56"/>
        <v>-</v>
      </c>
      <c r="CP13" t="str">
        <f t="shared" ca="1" si="56"/>
        <v>+16.6</v>
      </c>
      <c r="CQ13" t="str">
        <f t="shared" ca="1" si="116"/>
        <v>+1.0</v>
      </c>
      <c r="CR13" t="str">
        <f t="shared" ca="1" si="117"/>
        <v>-</v>
      </c>
      <c r="CT13">
        <f t="shared" ca="1" si="57"/>
        <v>1</v>
      </c>
      <c r="CU13">
        <f t="shared" ca="1" si="58"/>
        <v>-1</v>
      </c>
      <c r="CV13">
        <f t="shared" ca="1" si="58"/>
        <v>0</v>
      </c>
      <c r="CW13">
        <f t="shared" ca="1" si="58"/>
        <v>1</v>
      </c>
      <c r="CX13">
        <f t="shared" ca="1" si="58"/>
        <v>1</v>
      </c>
      <c r="CY13">
        <f t="shared" ca="1" si="58"/>
        <v>0</v>
      </c>
      <c r="DA13" t="str">
        <f t="shared" ca="1" si="59"/>
        <v>-</v>
      </c>
      <c r="DB13" t="str">
        <f t="shared" ca="1" si="59"/>
        <v>-2</v>
      </c>
      <c r="DC13" t="str">
        <f t="shared" ca="1" si="59"/>
        <v>-</v>
      </c>
      <c r="DD13" t="str">
        <f t="shared" ca="1" si="59"/>
        <v>+2</v>
      </c>
      <c r="DE13" t="str">
        <f t="shared" ca="1" si="59"/>
        <v>+5</v>
      </c>
      <c r="DF13" t="str">
        <f t="shared" ca="1" si="59"/>
        <v>-2</v>
      </c>
      <c r="DH13">
        <f t="shared" ca="1" si="60"/>
        <v>0</v>
      </c>
      <c r="DI13">
        <f t="shared" ca="1" si="60"/>
        <v>-1</v>
      </c>
      <c r="DJ13">
        <f t="shared" ca="1" si="60"/>
        <v>0</v>
      </c>
      <c r="DK13">
        <f t="shared" ca="1" si="60"/>
        <v>1</v>
      </c>
      <c r="DL13">
        <f t="shared" ca="1" si="60"/>
        <v>1</v>
      </c>
      <c r="DM13">
        <f t="shared" ca="1" si="60"/>
        <v>-1</v>
      </c>
      <c r="DO13">
        <f ca="1">RANK(BY13,BY$8:BY$22)+COUNTIF(BY13:BY$22,BY13)-1</f>
        <v>3</v>
      </c>
      <c r="DP13">
        <f ca="1">RANK(BZ13,BZ$8:BZ$22)+COUNTIF(BZ13:BZ$22,BZ13)-1</f>
        <v>12</v>
      </c>
      <c r="DQ13">
        <f ca="1">RANK(CA13,CA$8:CA$22)+COUNTIF(CA13:CA$22,CA13)-1</f>
        <v>8</v>
      </c>
      <c r="DR13">
        <f ca="1">RANK(CB13,CB$8:CB$22)+COUNTIF(CB13:CB$22,CB13)-1</f>
        <v>2</v>
      </c>
      <c r="DS13">
        <f ca="1">RANK(CC13,CC$8:CC$22)+COUNTIF(CC13:CC$22,CC13)-1</f>
        <v>1</v>
      </c>
      <c r="DT13">
        <f ca="1">RANK(CD13,CD$8:CD$22)+COUNTIF(CD13:CD$22,CD13)-1</f>
        <v>10</v>
      </c>
      <c r="DV13">
        <f t="shared" ca="1" si="61"/>
        <v>3</v>
      </c>
      <c r="DW13">
        <f t="shared" ca="1" si="62"/>
        <v>10</v>
      </c>
      <c r="DX13">
        <f t="shared" ca="1" si="63"/>
        <v>3</v>
      </c>
      <c r="DY13">
        <f t="shared" ca="1" si="64"/>
        <v>15</v>
      </c>
      <c r="DZ13">
        <f t="shared" ca="1" si="65"/>
        <v>13</v>
      </c>
      <c r="EA13">
        <f t="shared" ca="1" si="66"/>
        <v>10</v>
      </c>
      <c r="EC13" t="str">
        <f t="shared" ca="1" si="67"/>
        <v>Ecuador</v>
      </c>
      <c r="ED13" t="str">
        <f t="shared" ca="1" si="68"/>
        <v>Dominican Rep</v>
      </c>
      <c r="EE13" t="str">
        <f t="shared" ca="1" si="69"/>
        <v>Peru</v>
      </c>
      <c r="EF13" t="str">
        <f t="shared" ca="1" si="70"/>
        <v>Venezuela</v>
      </c>
      <c r="EG13" t="str">
        <f t="shared" ca="1" si="71"/>
        <v>Guatemala</v>
      </c>
      <c r="EH13" t="str">
        <f t="shared" ca="1" si="72"/>
        <v>Colombia</v>
      </c>
      <c r="EJ13">
        <f t="shared" ca="1" si="73"/>
        <v>69.7</v>
      </c>
      <c r="EK13">
        <f t="shared" ca="1" si="74"/>
        <v>50</v>
      </c>
      <c r="EL13">
        <f t="shared" ca="1" si="75"/>
        <v>58</v>
      </c>
      <c r="EM13">
        <f t="shared" ca="1" si="76"/>
        <v>16.7</v>
      </c>
      <c r="EN13">
        <f t="shared" ca="1" si="77"/>
        <v>1</v>
      </c>
      <c r="EO13">
        <f t="shared" ca="1" si="78"/>
        <v>7.17E-2</v>
      </c>
      <c r="EQ13">
        <f t="shared" ca="1" si="79"/>
        <v>68.3</v>
      </c>
      <c r="ER13">
        <f t="shared" ca="1" si="80"/>
        <v>50</v>
      </c>
      <c r="ES13">
        <f t="shared" ca="1" si="81"/>
        <v>57.9</v>
      </c>
      <c r="ET13">
        <f t="shared" ca="1" si="82"/>
        <v>16.7</v>
      </c>
      <c r="EU13">
        <f t="shared" ca="1" si="83"/>
        <v>1</v>
      </c>
      <c r="EV13">
        <f t="shared" ca="1" si="84"/>
        <v>0.1</v>
      </c>
      <c r="EX13" t="str">
        <f t="shared" ca="1" si="85"/>
        <v>+1.4</v>
      </c>
      <c r="EY13" t="str">
        <f t="shared" ca="1" si="86"/>
        <v>-</v>
      </c>
      <c r="EZ13" t="str">
        <f t="shared" ca="1" si="87"/>
        <v>+0.1</v>
      </c>
      <c r="FA13" t="str">
        <f t="shared" ca="1" si="88"/>
        <v>-</v>
      </c>
      <c r="FB13" t="str">
        <f t="shared" ca="1" si="89"/>
        <v>-</v>
      </c>
      <c r="FE13">
        <f t="shared" ca="1" si="90"/>
        <v>1</v>
      </c>
      <c r="FF13">
        <f t="shared" ca="1" si="91"/>
        <v>0</v>
      </c>
      <c r="FG13">
        <f t="shared" ca="1" si="92"/>
        <v>1</v>
      </c>
      <c r="FH13">
        <f t="shared" ca="1" si="93"/>
        <v>0</v>
      </c>
      <c r="FI13">
        <f t="shared" ca="1" si="94"/>
        <v>0</v>
      </c>
      <c r="FJ13">
        <f t="shared" ca="1" si="95"/>
        <v>0</v>
      </c>
      <c r="FL13" t="str">
        <f t="shared" ca="1" si="96"/>
        <v>-</v>
      </c>
      <c r="FM13" t="str">
        <f t="shared" ca="1" si="97"/>
        <v>-2</v>
      </c>
      <c r="FN13" t="str">
        <f t="shared" ca="1" si="98"/>
        <v>+1</v>
      </c>
      <c r="FO13" t="str">
        <f t="shared" ca="1" si="99"/>
        <v>+1</v>
      </c>
      <c r="FP13" t="str">
        <f t="shared" ca="1" si="100"/>
        <v>-1</v>
      </c>
      <c r="FQ13" t="str">
        <f t="shared" ca="1" si="101"/>
        <v>-2</v>
      </c>
      <c r="FS13">
        <f t="shared" ca="1" si="102"/>
        <v>0</v>
      </c>
      <c r="FT13">
        <f t="shared" ca="1" si="103"/>
        <v>-1</v>
      </c>
      <c r="FU13">
        <f t="shared" ca="1" si="104"/>
        <v>1</v>
      </c>
      <c r="FV13">
        <f t="shared" ca="1" si="105"/>
        <v>1</v>
      </c>
      <c r="FW13">
        <f t="shared" ca="1" si="106"/>
        <v>-1</v>
      </c>
      <c r="FX13">
        <f t="shared" ca="1" si="107"/>
        <v>-1</v>
      </c>
      <c r="FZ13">
        <f t="shared" ca="1" si="108"/>
        <v>3</v>
      </c>
    </row>
    <row r="14" spans="1:182">
      <c r="A14">
        <v>7</v>
      </c>
      <c r="B14">
        <f ca="1">uxb_countries!D10</f>
        <v>1</v>
      </c>
      <c r="C14" t="str">
        <f ca="1">uxb_countries!B10</f>
        <v>Ecuador</v>
      </c>
      <c r="D14" t="str">
        <f ca="1">uxb_countries!A10</f>
        <v>EC</v>
      </c>
      <c r="E14" s="4">
        <f ca="1">MATCH(D14,uxb_scores_2007!$J$2:$AC$2,0)</f>
        <v>8</v>
      </c>
      <c r="G14" s="3">
        <f ca="1">IF($B14=0,"",ROUND(OFFSET(uxb_scores_2008!$I$2,G$6,$E14),2))</f>
        <v>69.67</v>
      </c>
      <c r="H14" s="3">
        <f ca="1">IF($B14=0,"",ROUND(OFFSET(uxb_scores_2008!$I$2,H$6,$E14),2))</f>
        <v>75</v>
      </c>
      <c r="I14" s="3">
        <f ca="1">IF($B14=0,"",ROUND(OFFSET(uxb_scores_2008!$I$2,I$6,$E14),2))</f>
        <v>31.67</v>
      </c>
      <c r="J14" s="3">
        <f ca="1">IF($B14=0,"",ROUND(OFFSET(uxb_scores_2008!$I$2,J$6,$E14),2))</f>
        <v>83.33</v>
      </c>
      <c r="K14" s="3">
        <f ca="1">IF($B14=0,"",ROUND(OFFSET(uxb_scores_2008!$I$2,K$6,$E14),2))</f>
        <v>3</v>
      </c>
      <c r="L14">
        <f ca="1">IF($B14=0,"",ROUND(OFFSET(uxb_scores_2008!$I$2,L$6,$E14),4))</f>
        <v>0.26900000000000002</v>
      </c>
      <c r="N14">
        <f ca="1">IF($B14=0,"",ROUND(OFFSET(uxb_scores_2007!$I$2,G$6,$E14),2))</f>
        <v>68.25</v>
      </c>
      <c r="O14">
        <f ca="1">IF($B14=0,"",ROUND(OFFSET(uxb_scores_2007!$I$2,H$6,$E14),2))</f>
        <v>75</v>
      </c>
      <c r="P14">
        <f ca="1">IF($B14=0,"",ROUND(OFFSET(uxb_scores_2007!$I$2,I$6,$E14),2))</f>
        <v>41.25</v>
      </c>
      <c r="Q14">
        <f ca="1">IF($B14=0,"",ROUND(OFFSET(uxb_scores_2007!$I$2,J$6,$E14),2))</f>
        <v>75</v>
      </c>
      <c r="R14">
        <f ca="1">IF($B14=0,"",ROUND(OFFSET(uxb_scores_2007!$I$2,K$6,$E14),2))</f>
        <v>3</v>
      </c>
      <c r="S14">
        <f ca="1">IF($B14=0,"",ROUND(OFFSET(uxb_scores_2007!$I$2,L$6,$E14),2))</f>
        <v>0.27</v>
      </c>
      <c r="U14">
        <f ca="1">IF($B14=1,RANK(G14,G$8:G$25,$B$1)+COUNTIF(G$8:G14,G14)-1,"")</f>
        <v>3</v>
      </c>
      <c r="V14">
        <f ca="1">IF($B14=1,RANK(H14,H$8:H$25,$B$1)+COUNTIF(H$8:H14,H14)-1,"")</f>
        <v>3</v>
      </c>
      <c r="W14">
        <f ca="1">IF($B14=1,RANK(I14,I$8:I$25,$B$1)+COUNTIF(I$8:I14,I14)-1,"")</f>
        <v>15</v>
      </c>
      <c r="X14">
        <f ca="1">IF($B14=1,RANK(J14,J$8:J$25,$B$1)+COUNTIF(J$8:J14,J14)-1,"")</f>
        <v>1</v>
      </c>
      <c r="Y14">
        <f ca="1">IF($B14=1,RANK(K14,K$8:K$25,$B$1)+COUNTIF(K$8:K14,K14)-1,"")</f>
        <v>3</v>
      </c>
      <c r="Z14">
        <f ca="1">IF($B14=1,RANK(L14,L$8:L$25,$B$1)+COUNTIF(L$8:L14,L14)-1,"")</f>
        <v>3</v>
      </c>
      <c r="AB14">
        <f t="shared" ca="1" si="21"/>
        <v>9</v>
      </c>
      <c r="AC14">
        <f t="shared" ca="1" si="22"/>
        <v>9</v>
      </c>
      <c r="AD14">
        <f t="shared" ca="1" si="23"/>
        <v>2</v>
      </c>
      <c r="AE14">
        <f t="shared" ca="1" si="24"/>
        <v>9</v>
      </c>
      <c r="AF14">
        <f t="shared" ca="1" si="25"/>
        <v>6</v>
      </c>
      <c r="AG14">
        <f t="shared" ca="1" si="26"/>
        <v>8</v>
      </c>
      <c r="AI14" t="str">
        <f t="shared" ca="1" si="27"/>
        <v>Guatemala</v>
      </c>
      <c r="AJ14" t="str">
        <f t="shared" ca="1" si="28"/>
        <v>Guatemala</v>
      </c>
      <c r="AK14" t="str">
        <f t="shared" ca="1" si="29"/>
        <v>Bolivia</v>
      </c>
      <c r="AL14" t="str">
        <f t="shared" ca="1" si="30"/>
        <v>Guatemala</v>
      </c>
      <c r="AM14" t="str">
        <f t="shared" ca="1" si="31"/>
        <v>Dominican Rep</v>
      </c>
      <c r="AN14" t="str">
        <f t="shared" ca="1" si="32"/>
        <v>El Salvador</v>
      </c>
      <c r="AP14">
        <f t="shared" ca="1" si="33"/>
        <v>54</v>
      </c>
      <c r="AQ14">
        <f t="shared" ca="1" si="34"/>
        <v>56.3</v>
      </c>
      <c r="AR14">
        <f t="shared" ca="1" si="35"/>
        <v>46.9</v>
      </c>
      <c r="AS14">
        <f t="shared" ca="1" si="36"/>
        <v>58.3</v>
      </c>
      <c r="AT14">
        <f t="shared" ca="1" si="37"/>
        <v>2</v>
      </c>
      <c r="AU14" s="203">
        <f t="shared" ca="1" si="38"/>
        <v>0.16200000000000001</v>
      </c>
      <c r="AV14" s="203"/>
      <c r="AW14" s="206">
        <f t="shared" ca="1" si="39"/>
        <v>7</v>
      </c>
      <c r="AX14" s="206">
        <f t="shared" ca="1" si="40"/>
        <v>6</v>
      </c>
      <c r="AY14" s="206">
        <f t="shared" ca="1" si="41"/>
        <v>7</v>
      </c>
      <c r="AZ14" s="206">
        <f t="shared" ca="1" si="42"/>
        <v>6</v>
      </c>
      <c r="BA14" s="206">
        <f t="shared" ca="1" si="43"/>
        <v>5</v>
      </c>
      <c r="BB14" s="206">
        <f t="shared" ca="1" si="44"/>
        <v>7</v>
      </c>
      <c r="BC14" s="206"/>
      <c r="BD14" s="186">
        <f t="shared" ca="1" si="118"/>
        <v>7</v>
      </c>
      <c r="BE14" s="186" t="str">
        <f t="shared" ca="1" si="119"/>
        <v>=6</v>
      </c>
      <c r="BF14" s="186">
        <f t="shared" ca="1" si="120"/>
        <v>7</v>
      </c>
      <c r="BG14" s="186" t="str">
        <f t="shared" ca="1" si="121"/>
        <v>=6</v>
      </c>
      <c r="BH14" s="186" t="str">
        <f t="shared" ca="1" si="122"/>
        <v>=5</v>
      </c>
      <c r="BI14" s="186">
        <f t="shared" ca="1" si="123"/>
        <v>7</v>
      </c>
      <c r="BK14">
        <f t="shared" ca="1" si="110"/>
        <v>44</v>
      </c>
      <c r="BL14">
        <f t="shared" ca="1" si="111"/>
        <v>56.3</v>
      </c>
      <c r="BM14">
        <f t="shared" ca="1" si="112"/>
        <v>47.1</v>
      </c>
      <c r="BN14">
        <f t="shared" ca="1" si="113"/>
        <v>33.299999999999997</v>
      </c>
      <c r="BO14">
        <f t="shared" ca="1" si="114"/>
        <v>2</v>
      </c>
      <c r="BP14">
        <f t="shared" ca="1" si="115"/>
        <v>0.2</v>
      </c>
      <c r="BR14">
        <f t="shared" ca="1" si="47"/>
        <v>11</v>
      </c>
      <c r="BS14">
        <f t="shared" ca="1" si="48"/>
        <v>6</v>
      </c>
      <c r="BT14">
        <f t="shared" ca="1" si="49"/>
        <v>7</v>
      </c>
      <c r="BU14">
        <f t="shared" ca="1" si="50"/>
        <v>10</v>
      </c>
      <c r="BV14">
        <f t="shared" ca="1" si="51"/>
        <v>5</v>
      </c>
      <c r="BW14">
        <f t="shared" ca="1" si="52"/>
        <v>4</v>
      </c>
      <c r="BY14">
        <f t="shared" ca="1" si="53"/>
        <v>10</v>
      </c>
      <c r="BZ14">
        <f t="shared" ca="1" si="53"/>
        <v>0</v>
      </c>
      <c r="CA14">
        <f t="shared" ca="1" si="53"/>
        <v>-0.2</v>
      </c>
      <c r="CB14">
        <f t="shared" ca="1" si="53"/>
        <v>25</v>
      </c>
      <c r="CC14">
        <f t="shared" ca="1" si="53"/>
        <v>0</v>
      </c>
      <c r="CD14">
        <f t="shared" ca="1" si="53"/>
        <v>0</v>
      </c>
      <c r="CF14" s="206">
        <f t="shared" ca="1" si="54"/>
        <v>4</v>
      </c>
      <c r="CG14" s="206">
        <f t="shared" ca="1" si="54"/>
        <v>0</v>
      </c>
      <c r="CH14" s="206">
        <f t="shared" ca="1" si="54"/>
        <v>0</v>
      </c>
      <c r="CI14" s="206">
        <f t="shared" ca="1" si="54"/>
        <v>4</v>
      </c>
      <c r="CJ14" s="206">
        <f t="shared" ca="1" si="54"/>
        <v>0</v>
      </c>
      <c r="CK14" s="206">
        <f t="shared" ca="1" si="54"/>
        <v>-3</v>
      </c>
      <c r="CM14" t="str">
        <f t="shared" ca="1" si="55"/>
        <v>+10.0</v>
      </c>
      <c r="CN14" t="str">
        <f t="shared" ca="1" si="56"/>
        <v>-</v>
      </c>
      <c r="CO14" t="str">
        <f t="shared" ca="1" si="56"/>
        <v>-0.2</v>
      </c>
      <c r="CP14" t="str">
        <f t="shared" ca="1" si="56"/>
        <v>+25.0</v>
      </c>
      <c r="CQ14" t="str">
        <f t="shared" ca="1" si="116"/>
        <v>-</v>
      </c>
      <c r="CR14" t="str">
        <f t="shared" ca="1" si="117"/>
        <v>-</v>
      </c>
      <c r="CT14">
        <f t="shared" ca="1" si="57"/>
        <v>1</v>
      </c>
      <c r="CU14">
        <f t="shared" ca="1" si="58"/>
        <v>0</v>
      </c>
      <c r="CV14">
        <f t="shared" ca="1" si="58"/>
        <v>-1</v>
      </c>
      <c r="CW14">
        <f t="shared" ca="1" si="58"/>
        <v>1</v>
      </c>
      <c r="CX14">
        <f t="shared" ca="1" si="58"/>
        <v>0</v>
      </c>
      <c r="CY14">
        <f t="shared" ca="1" si="58"/>
        <v>0</v>
      </c>
      <c r="DA14" t="str">
        <f t="shared" ca="1" si="59"/>
        <v>+4</v>
      </c>
      <c r="DB14" t="str">
        <f t="shared" ca="1" si="59"/>
        <v>-</v>
      </c>
      <c r="DC14" t="str">
        <f t="shared" ca="1" si="59"/>
        <v>-</v>
      </c>
      <c r="DD14" t="str">
        <f t="shared" ca="1" si="59"/>
        <v>+4</v>
      </c>
      <c r="DE14" t="str">
        <f t="shared" ca="1" si="59"/>
        <v>-</v>
      </c>
      <c r="DF14" t="str">
        <f t="shared" ca="1" si="59"/>
        <v>-3</v>
      </c>
      <c r="DH14">
        <f t="shared" ca="1" si="60"/>
        <v>1</v>
      </c>
      <c r="DI14">
        <f t="shared" ca="1" si="60"/>
        <v>0</v>
      </c>
      <c r="DJ14">
        <f t="shared" ca="1" si="60"/>
        <v>0</v>
      </c>
      <c r="DK14">
        <f t="shared" ca="1" si="60"/>
        <v>1</v>
      </c>
      <c r="DL14">
        <f t="shared" ca="1" si="60"/>
        <v>0</v>
      </c>
      <c r="DM14">
        <f t="shared" ca="1" si="60"/>
        <v>-1</v>
      </c>
      <c r="DO14">
        <f ca="1">RANK(BY14,BY$8:BY$22)+COUNTIF(BY14:BY$22,BY14)-1</f>
        <v>2</v>
      </c>
      <c r="DP14">
        <f ca="1">RANK(BZ14,BZ$8:BZ$22)+COUNTIF(BZ14:BZ$22,BZ14)-1</f>
        <v>8</v>
      </c>
      <c r="DQ14">
        <f ca="1">RANK(CA14,CA$8:CA$22)+COUNTIF(CA14:CA$22,CA14)-1</f>
        <v>10</v>
      </c>
      <c r="DR14">
        <f ca="1">RANK(CB14,CB$8:CB$22)+COUNTIF(CB14:CB$22,CB14)-1</f>
        <v>1</v>
      </c>
      <c r="DS14">
        <f ca="1">RANK(CC14,CC$8:CC$22)+COUNTIF(CC14:CC$22,CC14)-1</f>
        <v>11</v>
      </c>
      <c r="DT14">
        <f ca="1">RANK(CD14,CD$8:CD$22)+COUNTIF(CD14:CD$22,CD14)-1</f>
        <v>9</v>
      </c>
      <c r="DV14">
        <f t="shared" ca="1" si="61"/>
        <v>10</v>
      </c>
      <c r="DW14">
        <f t="shared" ca="1" si="62"/>
        <v>9</v>
      </c>
      <c r="DX14">
        <f t="shared" ca="1" si="63"/>
        <v>11</v>
      </c>
      <c r="DY14">
        <f t="shared" ca="1" si="64"/>
        <v>12</v>
      </c>
      <c r="DZ14">
        <f t="shared" ca="1" si="65"/>
        <v>12</v>
      </c>
      <c r="EA14">
        <f t="shared" ca="1" si="66"/>
        <v>9</v>
      </c>
      <c r="EC14" t="str">
        <f t="shared" ca="1" si="67"/>
        <v>Mexico</v>
      </c>
      <c r="ED14" t="str">
        <f t="shared" ca="1" si="68"/>
        <v>Nicaragua</v>
      </c>
      <c r="EE14" t="str">
        <f t="shared" ca="1" si="69"/>
        <v>Guatemala</v>
      </c>
      <c r="EF14" t="str">
        <f t="shared" ca="1" si="70"/>
        <v>Chile</v>
      </c>
      <c r="EG14" t="str">
        <f t="shared" ca="1" si="71"/>
        <v>Chile</v>
      </c>
      <c r="EH14" t="str">
        <f t="shared" ca="1" si="72"/>
        <v>Dominican Rep</v>
      </c>
      <c r="EJ14">
        <f t="shared" ca="1" si="73"/>
        <v>47.5</v>
      </c>
      <c r="EK14">
        <f t="shared" ca="1" si="74"/>
        <v>56.3</v>
      </c>
      <c r="EL14">
        <f t="shared" ca="1" si="75"/>
        <v>40.799999999999997</v>
      </c>
      <c r="EM14">
        <f t="shared" ca="1" si="76"/>
        <v>33.299999999999997</v>
      </c>
      <c r="EN14">
        <f t="shared" ca="1" si="77"/>
        <v>1</v>
      </c>
      <c r="EO14">
        <f t="shared" ca="1" si="78"/>
        <v>0.1038</v>
      </c>
      <c r="EQ14">
        <f t="shared" ca="1" si="79"/>
        <v>48.3</v>
      </c>
      <c r="ER14">
        <f t="shared" ca="1" si="80"/>
        <v>56.3</v>
      </c>
      <c r="ES14">
        <f t="shared" ca="1" si="81"/>
        <v>40.799999999999997</v>
      </c>
      <c r="ET14">
        <f t="shared" ca="1" si="82"/>
        <v>33.299999999999997</v>
      </c>
      <c r="EU14">
        <f t="shared" ca="1" si="83"/>
        <v>1</v>
      </c>
      <c r="EV14">
        <f t="shared" ca="1" si="84"/>
        <v>0.1</v>
      </c>
      <c r="EX14" t="str">
        <f t="shared" ca="1" si="85"/>
        <v>-0.8</v>
      </c>
      <c r="EY14" t="str">
        <f t="shared" ca="1" si="86"/>
        <v>-</v>
      </c>
      <c r="EZ14" t="str">
        <f t="shared" ca="1" si="87"/>
        <v>-</v>
      </c>
      <c r="FA14" t="str">
        <f t="shared" ca="1" si="88"/>
        <v>-</v>
      </c>
      <c r="FB14" t="str">
        <f t="shared" ca="1" si="89"/>
        <v>-</v>
      </c>
      <c r="FE14">
        <f t="shared" ca="1" si="90"/>
        <v>-1</v>
      </c>
      <c r="FF14">
        <f t="shared" ca="1" si="91"/>
        <v>0</v>
      </c>
      <c r="FG14">
        <f t="shared" ca="1" si="92"/>
        <v>0</v>
      </c>
      <c r="FH14">
        <f t="shared" ca="1" si="93"/>
        <v>0</v>
      </c>
      <c r="FI14">
        <f t="shared" ca="1" si="94"/>
        <v>0</v>
      </c>
      <c r="FJ14">
        <f t="shared" ca="1" si="95"/>
        <v>0</v>
      </c>
      <c r="FL14" t="str">
        <f t="shared" ca="1" si="96"/>
        <v>-2</v>
      </c>
      <c r="FM14" t="str">
        <f t="shared" ca="1" si="97"/>
        <v>-</v>
      </c>
      <c r="FN14" t="str">
        <f t="shared" ca="1" si="98"/>
        <v>+1</v>
      </c>
      <c r="FO14" t="str">
        <f t="shared" ca="1" si="99"/>
        <v>-</v>
      </c>
      <c r="FP14" t="str">
        <f t="shared" ca="1" si="100"/>
        <v>-1</v>
      </c>
      <c r="FQ14" t="str">
        <f t="shared" ca="1" si="101"/>
        <v>-1</v>
      </c>
      <c r="FS14">
        <f t="shared" ca="1" si="102"/>
        <v>-1</v>
      </c>
      <c r="FT14">
        <f t="shared" ca="1" si="103"/>
        <v>0</v>
      </c>
      <c r="FU14">
        <f t="shared" ca="1" si="104"/>
        <v>1</v>
      </c>
      <c r="FV14">
        <f t="shared" ca="1" si="105"/>
        <v>0</v>
      </c>
      <c r="FW14">
        <f t="shared" ca="1" si="106"/>
        <v>-1</v>
      </c>
      <c r="FX14">
        <f t="shared" ca="1" si="107"/>
        <v>-1</v>
      </c>
      <c r="FZ14">
        <f t="shared" ca="1" si="108"/>
        <v>1</v>
      </c>
    </row>
    <row r="15" spans="1:182">
      <c r="A15">
        <v>8</v>
      </c>
      <c r="B15">
        <f ca="1">uxb_countries!D11</f>
        <v>1</v>
      </c>
      <c r="C15" t="str">
        <f ca="1">uxb_countries!B11</f>
        <v>El Salvador</v>
      </c>
      <c r="D15" t="str">
        <f ca="1">uxb_countries!A11</f>
        <v>SV</v>
      </c>
      <c r="E15" s="4">
        <f ca="1">MATCH(D15,uxb_scores_2007!$J$2:$AC$2,0)</f>
        <v>9</v>
      </c>
      <c r="G15" s="3">
        <f ca="1">IF($B15=0,"",ROUND(OFFSET(uxb_scores_2008!$I$2,G$6,$E15),2))</f>
        <v>59</v>
      </c>
      <c r="H15" s="3">
        <f ca="1">IF($B15=0,"",ROUND(OFFSET(uxb_scores_2008!$I$2,H$6,$E15),2))</f>
        <v>56.25</v>
      </c>
      <c r="I15" s="3">
        <f ca="1">IF($B15=0,"",ROUND(OFFSET(uxb_scores_2008!$I$2,I$6,$E15),2))</f>
        <v>49.17</v>
      </c>
      <c r="J15" s="3">
        <f ca="1">IF($B15=0,"",ROUND(OFFSET(uxb_scores_2008!$I$2,J$6,$E15),2))</f>
        <v>66.67</v>
      </c>
      <c r="K15" s="3">
        <f ca="1">IF($B15=0,"",ROUND(OFFSET(uxb_scores_2008!$I$2,K$6,$E15),2))</f>
        <v>2</v>
      </c>
      <c r="L15">
        <f ca="1">IF($B15=0,"",ROUND(OFFSET(uxb_scores_2008!$I$2,L$6,$E15),4))</f>
        <v>0.16200000000000001</v>
      </c>
      <c r="N15">
        <f ca="1">IF($B15=0,"",ROUND(OFFSET(uxb_scores_2007!$I$2,G$6,$E15),2))</f>
        <v>61.5</v>
      </c>
      <c r="O15">
        <f ca="1">IF($B15=0,"",ROUND(OFFSET(uxb_scores_2007!$I$2,H$6,$E15),2))</f>
        <v>62.5</v>
      </c>
      <c r="P15">
        <f ca="1">IF($B15=0,"",ROUND(OFFSET(uxb_scores_2007!$I$2,I$6,$E15),2))</f>
        <v>49.17</v>
      </c>
      <c r="Q15">
        <f ca="1">IF($B15=0,"",ROUND(OFFSET(uxb_scores_2007!$I$2,J$6,$E15),2))</f>
        <v>66.67</v>
      </c>
      <c r="R15">
        <f ca="1">IF($B15=0,"",ROUND(OFFSET(uxb_scores_2007!$I$2,K$6,$E15),2))</f>
        <v>3</v>
      </c>
      <c r="S15">
        <f ca="1">IF($B15=0,"",ROUND(OFFSET(uxb_scores_2007!$I$2,L$6,$E15),2))</f>
        <v>0.16</v>
      </c>
      <c r="U15">
        <f ca="1">IF($B15=1,RANK(G15,G$8:G$25,$B$1)+COUNTIF(G$8:G15,G15)-1,"")</f>
        <v>4</v>
      </c>
      <c r="V15">
        <f ca="1">IF($B15=1,RANK(H15,H$8:H$25,$B$1)+COUNTIF(H$8:H15,H15)-1,"")</f>
        <v>6</v>
      </c>
      <c r="W15">
        <f ca="1">IF($B15=1,RANK(I15,I$8:I$25,$B$1)+COUNTIF(I$8:I15,I15)-1,"")</f>
        <v>6</v>
      </c>
      <c r="X15">
        <f ca="1">IF($B15=1,RANK(J15,J$8:J$25,$B$1)+COUNTIF(J$8:J15,J15)-1,"")</f>
        <v>4</v>
      </c>
      <c r="Y15">
        <f ca="1">IF($B15=1,RANK(K15,K$8:K$25,$B$1)+COUNTIF(K$8:K15,K15)-1,"")</f>
        <v>8</v>
      </c>
      <c r="Z15">
        <f ca="1">IF($B15=1,RANK(L15,L$8:L$25,$B$1)+COUNTIF(L$8:L15,L15)-1,"")</f>
        <v>7</v>
      </c>
      <c r="AB15">
        <f t="shared" ca="1" si="21"/>
        <v>12</v>
      </c>
      <c r="AC15">
        <f t="shared" ca="1" si="22"/>
        <v>10</v>
      </c>
      <c r="AD15">
        <f t="shared" ca="1" si="23"/>
        <v>14</v>
      </c>
      <c r="AE15">
        <f t="shared" ca="1" si="24"/>
        <v>6</v>
      </c>
      <c r="AF15">
        <f t="shared" ca="1" si="25"/>
        <v>8</v>
      </c>
      <c r="AG15">
        <f t="shared" ca="1" si="26"/>
        <v>10</v>
      </c>
      <c r="AI15" t="str">
        <f t="shared" ca="1" si="27"/>
        <v>Paraguay</v>
      </c>
      <c r="AJ15" t="str">
        <f t="shared" ca="1" si="28"/>
        <v>Mexico</v>
      </c>
      <c r="AK15" t="str">
        <f t="shared" ca="1" si="29"/>
        <v>Uruguay</v>
      </c>
      <c r="AL15" t="str">
        <f t="shared" ca="1" si="30"/>
        <v>Dominican Rep</v>
      </c>
      <c r="AM15" t="str">
        <f t="shared" ca="1" si="31"/>
        <v>El Salvador</v>
      </c>
      <c r="AN15" t="str">
        <f t="shared" ca="1" si="32"/>
        <v>Mexico</v>
      </c>
      <c r="AP15">
        <f t="shared" ca="1" si="33"/>
        <v>49.6</v>
      </c>
      <c r="AQ15">
        <f t="shared" ca="1" si="34"/>
        <v>56.3</v>
      </c>
      <c r="AR15">
        <f t="shared" ca="1" si="35"/>
        <v>45.8</v>
      </c>
      <c r="AS15">
        <f t="shared" ca="1" si="36"/>
        <v>50</v>
      </c>
      <c r="AT15">
        <f t="shared" ca="1" si="37"/>
        <v>2</v>
      </c>
      <c r="AU15" s="203">
        <f t="shared" ca="1" si="38"/>
        <v>0.1172</v>
      </c>
      <c r="AV15" s="203"/>
      <c r="AW15" s="206">
        <f t="shared" ca="1" si="39"/>
        <v>8</v>
      </c>
      <c r="AX15" s="206">
        <f t="shared" ca="1" si="40"/>
        <v>6</v>
      </c>
      <c r="AY15" s="206">
        <f t="shared" ca="1" si="41"/>
        <v>8</v>
      </c>
      <c r="AZ15" s="206">
        <f t="shared" ca="1" si="42"/>
        <v>8</v>
      </c>
      <c r="BA15" s="206">
        <f t="shared" ca="1" si="43"/>
        <v>5</v>
      </c>
      <c r="BB15" s="206">
        <f t="shared" ca="1" si="44"/>
        <v>8</v>
      </c>
      <c r="BC15" s="206"/>
      <c r="BD15" s="186">
        <f t="shared" ca="1" si="118"/>
        <v>8</v>
      </c>
      <c r="BE15" s="186" t="str">
        <f t="shared" ca="1" si="119"/>
        <v>=6</v>
      </c>
      <c r="BF15" s="186">
        <f t="shared" ca="1" si="120"/>
        <v>8</v>
      </c>
      <c r="BG15" s="186">
        <f t="shared" ca="1" si="121"/>
        <v>8</v>
      </c>
      <c r="BH15" s="186" t="str">
        <f t="shared" ca="1" si="122"/>
        <v>=5</v>
      </c>
      <c r="BI15" s="186">
        <f t="shared" ca="1" si="123"/>
        <v>8</v>
      </c>
      <c r="BK15">
        <f t="shared" ca="1" si="110"/>
        <v>52.9</v>
      </c>
      <c r="BL15">
        <f t="shared" ca="1" si="111"/>
        <v>50</v>
      </c>
      <c r="BM15">
        <f t="shared" ca="1" si="112"/>
        <v>54.2</v>
      </c>
      <c r="BN15">
        <f t="shared" ca="1" si="113"/>
        <v>75</v>
      </c>
      <c r="BO15">
        <f t="shared" ca="1" si="114"/>
        <v>3</v>
      </c>
      <c r="BP15">
        <f t="shared" ca="1" si="115"/>
        <v>0.1</v>
      </c>
      <c r="BR15">
        <f t="shared" ca="1" si="47"/>
        <v>7</v>
      </c>
      <c r="BS15">
        <f t="shared" ca="1" si="48"/>
        <v>8</v>
      </c>
      <c r="BT15">
        <f t="shared" ca="1" si="49"/>
        <v>5</v>
      </c>
      <c r="BU15">
        <f t="shared" ca="1" si="50"/>
        <v>1</v>
      </c>
      <c r="BV15">
        <f t="shared" ca="1" si="51"/>
        <v>2</v>
      </c>
      <c r="BW15">
        <f t="shared" ca="1" si="52"/>
        <v>8</v>
      </c>
      <c r="BY15">
        <f t="shared" ca="1" si="53"/>
        <v>-3.3</v>
      </c>
      <c r="BZ15">
        <f t="shared" ca="1" si="53"/>
        <v>6.3</v>
      </c>
      <c r="CA15">
        <f t="shared" ca="1" si="53"/>
        <v>-8.4</v>
      </c>
      <c r="CB15">
        <f t="shared" ca="1" si="53"/>
        <v>-25</v>
      </c>
      <c r="CC15">
        <f t="shared" ca="1" si="53"/>
        <v>-1</v>
      </c>
      <c r="CD15">
        <f t="shared" ca="1" si="53"/>
        <v>0</v>
      </c>
      <c r="CF15" s="206">
        <f t="shared" ca="1" si="54"/>
        <v>-1</v>
      </c>
      <c r="CG15" s="206">
        <f t="shared" ca="1" si="54"/>
        <v>2</v>
      </c>
      <c r="CH15" s="206">
        <f t="shared" ca="1" si="54"/>
        <v>-3</v>
      </c>
      <c r="CI15" s="206">
        <f t="shared" ca="1" si="54"/>
        <v>-7</v>
      </c>
      <c r="CJ15" s="206">
        <f t="shared" ca="1" si="54"/>
        <v>-3</v>
      </c>
      <c r="CK15" s="206">
        <f t="shared" ca="1" si="54"/>
        <v>0</v>
      </c>
      <c r="CM15" t="str">
        <f t="shared" ca="1" si="55"/>
        <v>-3.3</v>
      </c>
      <c r="CN15" t="str">
        <f t="shared" ca="1" si="56"/>
        <v>+6.3</v>
      </c>
      <c r="CO15" t="str">
        <f t="shared" ca="1" si="56"/>
        <v>-8.4</v>
      </c>
      <c r="CP15" t="str">
        <f t="shared" ca="1" si="56"/>
        <v>-25.0</v>
      </c>
      <c r="CQ15" t="str">
        <f t="shared" ca="1" si="116"/>
        <v>-1.0</v>
      </c>
      <c r="CR15" t="str">
        <f t="shared" ca="1" si="117"/>
        <v>-</v>
      </c>
      <c r="CT15">
        <f t="shared" ca="1" si="57"/>
        <v>-1</v>
      </c>
      <c r="CU15">
        <f t="shared" ca="1" si="58"/>
        <v>1</v>
      </c>
      <c r="CV15">
        <f t="shared" ca="1" si="58"/>
        <v>-1</v>
      </c>
      <c r="CW15">
        <f t="shared" ca="1" si="58"/>
        <v>-1</v>
      </c>
      <c r="CX15">
        <f t="shared" ca="1" si="58"/>
        <v>-1</v>
      </c>
      <c r="CY15">
        <f t="shared" ca="1" si="58"/>
        <v>0</v>
      </c>
      <c r="DA15" t="str">
        <f t="shared" ca="1" si="59"/>
        <v>-1</v>
      </c>
      <c r="DB15" t="str">
        <f t="shared" ca="1" si="59"/>
        <v>+2</v>
      </c>
      <c r="DC15" t="str">
        <f t="shared" ca="1" si="59"/>
        <v>-3</v>
      </c>
      <c r="DD15" t="str">
        <f t="shared" ca="1" si="59"/>
        <v>-7</v>
      </c>
      <c r="DE15" t="str">
        <f t="shared" ca="1" si="59"/>
        <v>-3</v>
      </c>
      <c r="DF15" t="str">
        <f t="shared" ca="1" si="59"/>
        <v>-</v>
      </c>
      <c r="DH15">
        <f t="shared" ca="1" si="60"/>
        <v>-1</v>
      </c>
      <c r="DI15">
        <f t="shared" ca="1" si="60"/>
        <v>1</v>
      </c>
      <c r="DJ15">
        <f t="shared" ca="1" si="60"/>
        <v>-1</v>
      </c>
      <c r="DK15">
        <f t="shared" ca="1" si="60"/>
        <v>-1</v>
      </c>
      <c r="DL15">
        <f t="shared" ca="1" si="60"/>
        <v>-1</v>
      </c>
      <c r="DM15">
        <f t="shared" ca="1" si="60"/>
        <v>0</v>
      </c>
      <c r="DO15">
        <f ca="1">RANK(BY15,BY$8:BY$22)+COUNTIF(BY15:BY$22,BY15)-1</f>
        <v>11</v>
      </c>
      <c r="DP15">
        <f ca="1">RANK(BZ15,BZ$8:BZ$22)+COUNTIF(BZ15:BZ$22,BZ15)-1</f>
        <v>2</v>
      </c>
      <c r="DQ15">
        <f ca="1">RANK(CA15,CA$8:CA$22)+COUNTIF(CA15:CA$22,CA15)-1</f>
        <v>13</v>
      </c>
      <c r="DR15">
        <f ca="1">RANK(CB15,CB$8:CB$22)+COUNTIF(CB15:CB$22,CB15)-1</f>
        <v>15</v>
      </c>
      <c r="DS15">
        <f ca="1">RANK(CC15,CC$8:CC$22)+COUNTIF(CC15:CC$22,CC15)-1</f>
        <v>14</v>
      </c>
      <c r="DT15">
        <f ca="1">RANK(CD15,CD$8:CD$22)+COUNTIF(CD15:CD$22,CD15)-1</f>
        <v>8</v>
      </c>
      <c r="DV15">
        <f t="shared" ca="1" si="61"/>
        <v>12</v>
      </c>
      <c r="DW15">
        <f t="shared" ca="1" si="62"/>
        <v>7</v>
      </c>
      <c r="DX15">
        <f t="shared" ca="1" si="63"/>
        <v>6</v>
      </c>
      <c r="DY15">
        <f t="shared" ca="1" si="64"/>
        <v>11</v>
      </c>
      <c r="DZ15">
        <f t="shared" ca="1" si="65"/>
        <v>11</v>
      </c>
      <c r="EA15">
        <f t="shared" ca="1" si="66"/>
        <v>8</v>
      </c>
      <c r="EC15" t="str">
        <f t="shared" ca="1" si="67"/>
        <v>Brazil</v>
      </c>
      <c r="ED15" t="str">
        <f t="shared" ca="1" si="68"/>
        <v>Guatemala</v>
      </c>
      <c r="EE15" t="str">
        <f t="shared" ca="1" si="69"/>
        <v>El Salvador</v>
      </c>
      <c r="EF15" t="str">
        <f t="shared" ca="1" si="70"/>
        <v>Brazil</v>
      </c>
      <c r="EG15" t="str">
        <f t="shared" ca="1" si="71"/>
        <v>Argentina</v>
      </c>
      <c r="EH15" t="str">
        <f t="shared" ca="1" si="72"/>
        <v>Mexico</v>
      </c>
      <c r="EJ15">
        <f t="shared" ca="1" si="73"/>
        <v>41.6</v>
      </c>
      <c r="EK15">
        <f t="shared" ca="1" si="74"/>
        <v>56.3</v>
      </c>
      <c r="EL15">
        <f t="shared" ca="1" si="75"/>
        <v>49.2</v>
      </c>
      <c r="EM15">
        <f t="shared" ca="1" si="76"/>
        <v>33.299999999999997</v>
      </c>
      <c r="EN15">
        <f t="shared" ca="1" si="77"/>
        <v>1</v>
      </c>
      <c r="EO15">
        <f t="shared" ca="1" si="78"/>
        <v>0.1172</v>
      </c>
      <c r="EQ15">
        <f t="shared" ca="1" si="79"/>
        <v>43.3</v>
      </c>
      <c r="ER15">
        <f t="shared" ca="1" si="80"/>
        <v>56.3</v>
      </c>
      <c r="ES15">
        <f t="shared" ca="1" si="81"/>
        <v>49.2</v>
      </c>
      <c r="ET15">
        <f t="shared" ca="1" si="82"/>
        <v>33.299999999999997</v>
      </c>
      <c r="EU15">
        <f t="shared" ca="1" si="83"/>
        <v>1</v>
      </c>
      <c r="EV15">
        <f t="shared" ca="1" si="84"/>
        <v>0.1</v>
      </c>
      <c r="EX15" t="str">
        <f t="shared" ca="1" si="85"/>
        <v>-1.7</v>
      </c>
      <c r="EY15" t="str">
        <f t="shared" ca="1" si="86"/>
        <v>-</v>
      </c>
      <c r="EZ15" t="str">
        <f t="shared" ca="1" si="87"/>
        <v>-</v>
      </c>
      <c r="FA15" t="str">
        <f t="shared" ca="1" si="88"/>
        <v>-</v>
      </c>
      <c r="FB15" t="str">
        <f t="shared" ca="1" si="89"/>
        <v>-</v>
      </c>
      <c r="FE15">
        <f t="shared" ca="1" si="90"/>
        <v>-1</v>
      </c>
      <c r="FF15">
        <f t="shared" ca="1" si="91"/>
        <v>0</v>
      </c>
      <c r="FG15">
        <f t="shared" ca="1" si="92"/>
        <v>0</v>
      </c>
      <c r="FH15">
        <f t="shared" ca="1" si="93"/>
        <v>0</v>
      </c>
      <c r="FI15">
        <f t="shared" ca="1" si="94"/>
        <v>0</v>
      </c>
      <c r="FJ15">
        <f t="shared" ca="1" si="95"/>
        <v>0</v>
      </c>
      <c r="FL15" t="str">
        <f t="shared" ca="1" si="96"/>
        <v>-</v>
      </c>
      <c r="FM15" t="str">
        <f t="shared" ca="1" si="97"/>
        <v>-</v>
      </c>
      <c r="FN15" t="str">
        <f t="shared" ca="1" si="98"/>
        <v>-</v>
      </c>
      <c r="FO15" t="str">
        <f t="shared" ca="1" si="99"/>
        <v>-</v>
      </c>
      <c r="FP15" t="str">
        <f t="shared" ca="1" si="100"/>
        <v>-1</v>
      </c>
      <c r="FQ15" t="str">
        <f t="shared" ca="1" si="101"/>
        <v>-</v>
      </c>
      <c r="FS15">
        <f t="shared" ca="1" si="102"/>
        <v>0</v>
      </c>
      <c r="FT15">
        <f t="shared" ca="1" si="103"/>
        <v>0</v>
      </c>
      <c r="FU15">
        <f t="shared" ca="1" si="104"/>
        <v>0</v>
      </c>
      <c r="FV15">
        <f t="shared" ca="1" si="105"/>
        <v>0</v>
      </c>
      <c r="FW15">
        <f t="shared" ca="1" si="106"/>
        <v>-1</v>
      </c>
      <c r="FX15">
        <f t="shared" ca="1" si="107"/>
        <v>0</v>
      </c>
      <c r="FZ15">
        <f t="shared" ca="1" si="108"/>
        <v>-5</v>
      </c>
    </row>
    <row r="16" spans="1:182">
      <c r="A16">
        <v>9</v>
      </c>
      <c r="B16">
        <f ca="1">uxb_countries!D12</f>
        <v>1</v>
      </c>
      <c r="C16" t="str">
        <f ca="1">uxb_countries!B12</f>
        <v>Guatemala</v>
      </c>
      <c r="D16" t="str">
        <f ca="1">uxb_countries!A12</f>
        <v>GT</v>
      </c>
      <c r="E16" s="4">
        <f ca="1">MATCH(D16,uxb_scores_2007!$J$2:$AC$2,0)</f>
        <v>10</v>
      </c>
      <c r="G16" s="3">
        <f ca="1">IF($B16=0,"",ROUND(OFFSET(uxb_scores_2008!$I$2,G$6,$E16),2))</f>
        <v>54</v>
      </c>
      <c r="H16" s="3">
        <f ca="1">IF($B16=0,"",ROUND(OFFSET(uxb_scores_2008!$I$2,H$6,$E16),2))</f>
        <v>56.25</v>
      </c>
      <c r="I16" s="3">
        <f ca="1">IF($B16=0,"",ROUND(OFFSET(uxb_scores_2008!$I$2,I$6,$E16),2))</f>
        <v>40.83</v>
      </c>
      <c r="J16" s="3">
        <f ca="1">IF($B16=0,"",ROUND(OFFSET(uxb_scores_2008!$I$2,J$6,$E16),2))</f>
        <v>58.33</v>
      </c>
      <c r="K16" s="3">
        <f ca="1">IF($B16=0,"",ROUND(OFFSET(uxb_scores_2008!$I$2,K$6,$E16),2))</f>
        <v>1</v>
      </c>
      <c r="L16">
        <f ca="1">IF($B16=0,"",ROUND(OFFSET(uxb_scores_2008!$I$2,L$6,$E16),4))</f>
        <v>0.22700000000000001</v>
      </c>
      <c r="N16">
        <f ca="1">IF($B16=0,"",ROUND(OFFSET(uxb_scores_2007!$I$2,G$6,$E16),2))</f>
        <v>44</v>
      </c>
      <c r="O16">
        <f ca="1">IF($B16=0,"",ROUND(OFFSET(uxb_scores_2007!$I$2,H$6,$E16),2))</f>
        <v>56.25</v>
      </c>
      <c r="P16">
        <f ca="1">IF($B16=0,"",ROUND(OFFSET(uxb_scores_2007!$I$2,I$6,$E16),2))</f>
        <v>40.83</v>
      </c>
      <c r="Q16">
        <f ca="1">IF($B16=0,"",ROUND(OFFSET(uxb_scores_2007!$I$2,J$6,$E16),2))</f>
        <v>33.33</v>
      </c>
      <c r="R16">
        <f ca="1">IF($B16=0,"",ROUND(OFFSET(uxb_scores_2007!$I$2,K$6,$E16),2))</f>
        <v>1</v>
      </c>
      <c r="S16">
        <f ca="1">IF($B16=0,"",ROUND(OFFSET(uxb_scores_2007!$I$2,L$6,$E16),2))</f>
        <v>0.23</v>
      </c>
      <c r="U16">
        <f ca="1">IF($B16=1,RANK(G16,G$8:G$25,$B$1)+COUNTIF(G$8:G16,G16)-1,"")</f>
        <v>7</v>
      </c>
      <c r="V16">
        <f ca="1">IF($B16=1,RANK(H16,H$8:H$25,$B$1)+COUNTIF(H$8:H16,H16)-1,"")</f>
        <v>7</v>
      </c>
      <c r="W16">
        <f ca="1">IF($B16=1,RANK(I16,I$8:I$25,$B$1)+COUNTIF(I$8:I16,I16)-1,"")</f>
        <v>11</v>
      </c>
      <c r="X16">
        <f ca="1">IF($B16=1,RANK(J16,J$8:J$25,$B$1)+COUNTIF(J$8:J16,J16)-1,"")</f>
        <v>7</v>
      </c>
      <c r="Y16">
        <f ca="1">IF($B16=1,RANK(K16,K$8:K$25,$B$1)+COUNTIF(K$8:K16,K16)-1,"")</f>
        <v>13</v>
      </c>
      <c r="Z16">
        <f ca="1">IF($B16=1,RANK(L16,L$8:L$25,$B$1)+COUNTIF(L$8:L16,L16)-1,"")</f>
        <v>5</v>
      </c>
      <c r="AB16">
        <f t="shared" ca="1" si="21"/>
        <v>6</v>
      </c>
      <c r="AC16">
        <f t="shared" ca="1" si="22"/>
        <v>11</v>
      </c>
      <c r="AD16">
        <f t="shared" ca="1" si="23"/>
        <v>11</v>
      </c>
      <c r="AE16">
        <f t="shared" ca="1" si="24"/>
        <v>12</v>
      </c>
      <c r="AF16">
        <f t="shared" ca="1" si="25"/>
        <v>11</v>
      </c>
      <c r="AG16">
        <f t="shared" ca="1" si="26"/>
        <v>6</v>
      </c>
      <c r="AI16" t="str">
        <f t="shared" ca="1" si="27"/>
        <v>Dominican Rep</v>
      </c>
      <c r="AJ16" t="str">
        <f t="shared" ca="1" si="28"/>
        <v>Nicaragua</v>
      </c>
      <c r="AK16" t="str">
        <f t="shared" ca="1" si="29"/>
        <v>Nicaragua</v>
      </c>
      <c r="AL16" t="str">
        <f t="shared" ca="1" si="30"/>
        <v>Paraguay</v>
      </c>
      <c r="AM16" t="str">
        <f t="shared" ca="1" si="31"/>
        <v>Nicaragua</v>
      </c>
      <c r="AN16" t="str">
        <f t="shared" ca="1" si="32"/>
        <v>Dominican Rep</v>
      </c>
      <c r="AP16">
        <f t="shared" ca="1" si="33"/>
        <v>48</v>
      </c>
      <c r="AQ16">
        <f t="shared" ca="1" si="34"/>
        <v>56.3</v>
      </c>
      <c r="AR16">
        <f t="shared" ca="1" si="35"/>
        <v>44.2</v>
      </c>
      <c r="AS16">
        <f t="shared" ca="1" si="36"/>
        <v>41.7</v>
      </c>
      <c r="AT16">
        <f t="shared" ca="1" si="37"/>
        <v>2</v>
      </c>
      <c r="AU16" s="203">
        <f t="shared" ca="1" si="38"/>
        <v>0.1038</v>
      </c>
      <c r="AV16" s="203"/>
      <c r="AW16" s="206">
        <f t="shared" ca="1" si="39"/>
        <v>9</v>
      </c>
      <c r="AX16" s="206">
        <f t="shared" ca="1" si="40"/>
        <v>6</v>
      </c>
      <c r="AY16" s="206">
        <f t="shared" ca="1" si="41"/>
        <v>9</v>
      </c>
      <c r="AZ16" s="206">
        <f t="shared" ca="1" si="42"/>
        <v>9</v>
      </c>
      <c r="BA16" s="206">
        <f t="shared" ca="1" si="43"/>
        <v>5</v>
      </c>
      <c r="BB16" s="206">
        <f t="shared" ca="1" si="44"/>
        <v>9</v>
      </c>
      <c r="BC16" s="206"/>
      <c r="BD16" s="186">
        <f t="shared" ca="1" si="118"/>
        <v>9</v>
      </c>
      <c r="BE16" s="186" t="str">
        <f t="shared" ca="1" si="119"/>
        <v>=6</v>
      </c>
      <c r="BF16" s="186">
        <f t="shared" ca="1" si="120"/>
        <v>9</v>
      </c>
      <c r="BG16" s="186">
        <f t="shared" ca="1" si="121"/>
        <v>9</v>
      </c>
      <c r="BH16" s="186" t="str">
        <f t="shared" ca="1" si="122"/>
        <v>=5</v>
      </c>
      <c r="BI16" s="186">
        <f t="shared" ca="1" si="123"/>
        <v>9</v>
      </c>
      <c r="BK16">
        <f t="shared" ca="1" si="110"/>
        <v>57.5</v>
      </c>
      <c r="BL16">
        <f t="shared" ca="1" si="111"/>
        <v>56.3</v>
      </c>
      <c r="BM16">
        <f t="shared" ca="1" si="112"/>
        <v>40</v>
      </c>
      <c r="BN16">
        <f t="shared" ca="1" si="113"/>
        <v>50</v>
      </c>
      <c r="BO16">
        <f t="shared" ca="1" si="114"/>
        <v>2</v>
      </c>
      <c r="BP16">
        <f t="shared" ca="1" si="115"/>
        <v>0.1</v>
      </c>
      <c r="BR16">
        <f t="shared" ca="1" si="47"/>
        <v>5</v>
      </c>
      <c r="BS16">
        <f t="shared" ca="1" si="48"/>
        <v>6</v>
      </c>
      <c r="BT16">
        <f t="shared" ca="1" si="49"/>
        <v>13</v>
      </c>
      <c r="BU16">
        <f t="shared" ca="1" si="50"/>
        <v>7</v>
      </c>
      <c r="BV16">
        <f t="shared" ca="1" si="51"/>
        <v>5</v>
      </c>
      <c r="BW16">
        <f t="shared" ca="1" si="52"/>
        <v>8</v>
      </c>
      <c r="BY16">
        <f t="shared" ca="1" si="53"/>
        <v>-9.5</v>
      </c>
      <c r="BZ16">
        <f t="shared" ca="1" si="53"/>
        <v>0</v>
      </c>
      <c r="CA16">
        <f t="shared" ca="1" si="53"/>
        <v>4.2</v>
      </c>
      <c r="CB16">
        <f t="shared" ca="1" si="53"/>
        <v>-8.3000000000000007</v>
      </c>
      <c r="CC16">
        <f t="shared" ca="1" si="53"/>
        <v>0</v>
      </c>
      <c r="CD16">
        <f t="shared" ca="1" si="53"/>
        <v>0</v>
      </c>
      <c r="CF16" s="206">
        <f t="shared" ca="1" si="54"/>
        <v>-4</v>
      </c>
      <c r="CG16" s="206">
        <f t="shared" ca="1" si="54"/>
        <v>0</v>
      </c>
      <c r="CH16" s="206">
        <f t="shared" ca="1" si="54"/>
        <v>4</v>
      </c>
      <c r="CI16" s="206">
        <f t="shared" ca="1" si="54"/>
        <v>-2</v>
      </c>
      <c r="CJ16" s="206">
        <f t="shared" ca="1" si="54"/>
        <v>0</v>
      </c>
      <c r="CK16" s="206">
        <f t="shared" ca="1" si="54"/>
        <v>-1</v>
      </c>
      <c r="CM16" t="str">
        <f t="shared" ca="1" si="55"/>
        <v>-9.5</v>
      </c>
      <c r="CN16" t="str">
        <f t="shared" ca="1" si="56"/>
        <v>-</v>
      </c>
      <c r="CO16" t="str">
        <f t="shared" ca="1" si="56"/>
        <v>+4.2</v>
      </c>
      <c r="CP16" t="str">
        <f t="shared" ca="1" si="56"/>
        <v>-8.3</v>
      </c>
      <c r="CQ16" t="str">
        <f t="shared" ca="1" si="116"/>
        <v>-</v>
      </c>
      <c r="CR16" t="str">
        <f t="shared" ca="1" si="117"/>
        <v>-</v>
      </c>
      <c r="CT16">
        <f t="shared" ca="1" si="57"/>
        <v>-1</v>
      </c>
      <c r="CU16">
        <f t="shared" ca="1" si="58"/>
        <v>0</v>
      </c>
      <c r="CV16">
        <f t="shared" ca="1" si="58"/>
        <v>1</v>
      </c>
      <c r="CW16">
        <f t="shared" ca="1" si="58"/>
        <v>-1</v>
      </c>
      <c r="CX16">
        <f t="shared" ca="1" si="58"/>
        <v>0</v>
      </c>
      <c r="CY16">
        <f t="shared" ca="1" si="58"/>
        <v>0</v>
      </c>
      <c r="DA16" t="str">
        <f t="shared" ca="1" si="59"/>
        <v>-4</v>
      </c>
      <c r="DB16" t="str">
        <f t="shared" ca="1" si="59"/>
        <v>-</v>
      </c>
      <c r="DC16" t="str">
        <f t="shared" ca="1" si="59"/>
        <v>+4</v>
      </c>
      <c r="DD16" t="str">
        <f t="shared" ca="1" si="59"/>
        <v>-2</v>
      </c>
      <c r="DE16" t="str">
        <f t="shared" ca="1" si="59"/>
        <v>-</v>
      </c>
      <c r="DF16" t="str">
        <f t="shared" ca="1" si="59"/>
        <v>-1</v>
      </c>
      <c r="DH16">
        <f t="shared" ca="1" si="60"/>
        <v>-1</v>
      </c>
      <c r="DI16">
        <f t="shared" ca="1" si="60"/>
        <v>0</v>
      </c>
      <c r="DJ16">
        <f t="shared" ca="1" si="60"/>
        <v>1</v>
      </c>
      <c r="DK16">
        <f t="shared" ca="1" si="60"/>
        <v>-1</v>
      </c>
      <c r="DL16">
        <f t="shared" ca="1" si="60"/>
        <v>0</v>
      </c>
      <c r="DM16">
        <f t="shared" ca="1" si="60"/>
        <v>-1</v>
      </c>
      <c r="DO16">
        <f ca="1">RANK(BY16,BY$8:BY$22)+COUNTIF(BY16:BY$22,BY16)-1</f>
        <v>15</v>
      </c>
      <c r="DP16">
        <f ca="1">RANK(BZ16,BZ$8:BZ$22)+COUNTIF(BZ16:BZ$22,BZ16)-1</f>
        <v>7</v>
      </c>
      <c r="DQ16">
        <f ca="1">RANK(CA16,CA$8:CA$22)+COUNTIF(CA16:CA$22,CA16)-1</f>
        <v>2</v>
      </c>
      <c r="DR16">
        <f ca="1">RANK(CB16,CB$8:CB$22)+COUNTIF(CB16:CB$22,CB16)-1</f>
        <v>13</v>
      </c>
      <c r="DS16">
        <f ca="1">RANK(CC16,CC$8:CC$22)+COUNTIF(CC16:CC$22,CC16)-1</f>
        <v>10</v>
      </c>
      <c r="DT16">
        <f ca="1">RANK(CD16,CD$8:CD$22)+COUNTIF(CD16:CD$22,CD16)-1</f>
        <v>7</v>
      </c>
      <c r="DV16">
        <f t="shared" ca="1" si="61"/>
        <v>15</v>
      </c>
      <c r="DW16">
        <f t="shared" ca="1" si="62"/>
        <v>5</v>
      </c>
      <c r="DX16">
        <f t="shared" ca="1" si="63"/>
        <v>2</v>
      </c>
      <c r="DY16">
        <f t="shared" ca="1" si="64"/>
        <v>4</v>
      </c>
      <c r="DZ16">
        <f t="shared" ca="1" si="65"/>
        <v>10</v>
      </c>
      <c r="EA16">
        <f t="shared" ca="1" si="66"/>
        <v>7</v>
      </c>
      <c r="EC16" t="str">
        <f t="shared" ca="1" si="67"/>
        <v>Venezuela</v>
      </c>
      <c r="ED16" t="str">
        <f t="shared" ca="1" si="68"/>
        <v>Paraguay</v>
      </c>
      <c r="EE16" t="str">
        <f t="shared" ca="1" si="69"/>
        <v>Mexico</v>
      </c>
      <c r="EF16" t="str">
        <f t="shared" ca="1" si="70"/>
        <v>El Salvador</v>
      </c>
      <c r="EG16" t="str">
        <f t="shared" ca="1" si="71"/>
        <v>Paraguay</v>
      </c>
      <c r="EH16" t="str">
        <f t="shared" ca="1" si="72"/>
        <v>El Salvador</v>
      </c>
      <c r="EJ16">
        <f t="shared" ca="1" si="73"/>
        <v>24.9</v>
      </c>
      <c r="EK16">
        <f t="shared" ca="1" si="74"/>
        <v>62.5</v>
      </c>
      <c r="EL16">
        <f t="shared" ca="1" si="75"/>
        <v>58.3</v>
      </c>
      <c r="EM16">
        <f t="shared" ca="1" si="76"/>
        <v>66.7</v>
      </c>
      <c r="EN16">
        <f t="shared" ca="1" si="77"/>
        <v>2</v>
      </c>
      <c r="EO16">
        <f t="shared" ca="1" si="78"/>
        <v>0.16200000000000001</v>
      </c>
      <c r="EQ16">
        <f t="shared" ca="1" si="79"/>
        <v>27.4</v>
      </c>
      <c r="ER16">
        <f t="shared" ca="1" si="80"/>
        <v>62.5</v>
      </c>
      <c r="ES16">
        <f t="shared" ca="1" si="81"/>
        <v>58.3</v>
      </c>
      <c r="ET16">
        <f t="shared" ca="1" si="82"/>
        <v>66.7</v>
      </c>
      <c r="EU16">
        <f t="shared" ca="1" si="83"/>
        <v>2</v>
      </c>
      <c r="EV16">
        <f t="shared" ca="1" si="84"/>
        <v>0.2</v>
      </c>
      <c r="EX16" t="str">
        <f t="shared" ca="1" si="85"/>
        <v>-2.5</v>
      </c>
      <c r="EY16" t="str">
        <f t="shared" ca="1" si="86"/>
        <v>-</v>
      </c>
      <c r="EZ16" t="str">
        <f t="shared" ca="1" si="87"/>
        <v>-</v>
      </c>
      <c r="FA16" t="str">
        <f t="shared" ca="1" si="88"/>
        <v>-</v>
      </c>
      <c r="FB16" t="str">
        <f t="shared" ca="1" si="89"/>
        <v>-</v>
      </c>
      <c r="FE16">
        <f t="shared" ca="1" si="90"/>
        <v>-1</v>
      </c>
      <c r="FF16">
        <f t="shared" ca="1" si="91"/>
        <v>0</v>
      </c>
      <c r="FG16">
        <f t="shared" ca="1" si="92"/>
        <v>0</v>
      </c>
      <c r="FH16">
        <f t="shared" ca="1" si="93"/>
        <v>0</v>
      </c>
      <c r="FI16">
        <f t="shared" ca="1" si="94"/>
        <v>0</v>
      </c>
      <c r="FJ16">
        <f t="shared" ca="1" si="95"/>
        <v>0</v>
      </c>
      <c r="FL16" t="str">
        <f t="shared" ca="1" si="96"/>
        <v>-1</v>
      </c>
      <c r="FM16" t="str">
        <f t="shared" ca="1" si="97"/>
        <v>-</v>
      </c>
      <c r="FN16" t="str">
        <f t="shared" ca="1" si="98"/>
        <v>+1</v>
      </c>
      <c r="FO16" t="str">
        <f t="shared" ca="1" si="99"/>
        <v>+1</v>
      </c>
      <c r="FP16" t="str">
        <f t="shared" ca="1" si="100"/>
        <v>-</v>
      </c>
      <c r="FQ16" t="str">
        <f t="shared" ca="1" si="101"/>
        <v>-3</v>
      </c>
      <c r="FS16">
        <f t="shared" ca="1" si="102"/>
        <v>-1</v>
      </c>
      <c r="FT16">
        <f t="shared" ca="1" si="103"/>
        <v>0</v>
      </c>
      <c r="FU16">
        <f t="shared" ca="1" si="104"/>
        <v>1</v>
      </c>
      <c r="FV16">
        <f t="shared" ca="1" si="105"/>
        <v>1</v>
      </c>
      <c r="FW16">
        <f t="shared" ca="1" si="106"/>
        <v>0</v>
      </c>
      <c r="FX16">
        <f t="shared" ca="1" si="107"/>
        <v>-1</v>
      </c>
      <c r="FZ16">
        <f t="shared" ca="1" si="108"/>
        <v>-10</v>
      </c>
    </row>
    <row r="17" spans="1:182">
      <c r="A17">
        <v>10</v>
      </c>
      <c r="B17">
        <f ca="1">uxb_countries!D16</f>
        <v>1</v>
      </c>
      <c r="C17" t="str">
        <f ca="1">uxb_countries!B16</f>
        <v>Mexico</v>
      </c>
      <c r="D17" t="str">
        <f ca="1">uxb_countries!A16</f>
        <v>MX</v>
      </c>
      <c r="E17" s="4">
        <f ca="1">MATCH(D17,uxb_scores_2007!$J$2:$AC$2,0)</f>
        <v>14</v>
      </c>
      <c r="G17" s="3">
        <f ca="1">IF($B17=0,"",ROUND(OFFSET(uxb_scores_2008!$I$2,G$6,$E17),2))</f>
        <v>47.5</v>
      </c>
      <c r="H17" s="3">
        <f ca="1">IF($B17=0,"",ROUND(OFFSET(uxb_scores_2008!$I$2,H$6,$E17),2))</f>
        <v>56.25</v>
      </c>
      <c r="I17" s="3">
        <f ca="1">IF($B17=0,"",ROUND(OFFSET(uxb_scores_2008!$I$2,I$6,$E17),2))</f>
        <v>58.33</v>
      </c>
      <c r="J17" s="3">
        <f ca="1">IF($B17=0,"",ROUND(OFFSET(uxb_scores_2008!$I$2,J$6,$E17),2))</f>
        <v>33.33</v>
      </c>
      <c r="K17" s="3">
        <f ca="1">IF($B17=0,"",ROUND(OFFSET(uxb_scores_2008!$I$2,K$6,$E17),2))</f>
        <v>3</v>
      </c>
      <c r="L17">
        <f ca="1">IF($B17=0,"",ROUND(OFFSET(uxb_scores_2008!$I$2,L$6,$E17),4))</f>
        <v>0.1172</v>
      </c>
      <c r="N17">
        <f ca="1">IF($B17=0,"",ROUND(OFFSET(uxb_scores_2007!$I$2,G$6,$E17),2))</f>
        <v>48.33</v>
      </c>
      <c r="O17">
        <f ca="1">IF($B17=0,"",ROUND(OFFSET(uxb_scores_2007!$I$2,H$6,$E17),2))</f>
        <v>50</v>
      </c>
      <c r="P17">
        <f ca="1">IF($B17=0,"",ROUND(OFFSET(uxb_scores_2007!$I$2,I$6,$E17),2))</f>
        <v>58.33</v>
      </c>
      <c r="Q17">
        <f ca="1">IF($B17=0,"",ROUND(OFFSET(uxb_scores_2007!$I$2,J$6,$E17),2))</f>
        <v>41.67</v>
      </c>
      <c r="R17">
        <f ca="1">IF($B17=0,"",ROUND(OFFSET(uxb_scores_2007!$I$2,K$6,$E17),2))</f>
        <v>2</v>
      </c>
      <c r="S17">
        <f ca="1">IF($B17=0,"",ROUND(OFFSET(uxb_scores_2007!$I$2,L$6,$E17),2))</f>
        <v>0.12</v>
      </c>
      <c r="U17">
        <f ca="1">IF($B17=1,RANK(G17,G$8:G$25,$B$1)+COUNTIF(G$8:G17,G17)-1,"")</f>
        <v>10</v>
      </c>
      <c r="V17">
        <f ca="1">IF($B17=1,RANK(H17,H$8:H$25,$B$1)+COUNTIF(H$8:H17,H17)-1,"")</f>
        <v>8</v>
      </c>
      <c r="W17">
        <f ca="1">IF($B17=1,RANK(I17,I$8:I$25,$B$1)+COUNTIF(I$8:I17,I17)-1,"")</f>
        <v>2</v>
      </c>
      <c r="X17">
        <f ca="1">IF($B17=1,RANK(J17,J$8:J$25,$B$1)+COUNTIF(J$8:J17,J17)-1,"")</f>
        <v>13</v>
      </c>
      <c r="Y17">
        <f ca="1">IF($B17=1,RANK(K17,K$8:K$25,$B$1)+COUNTIF(K$8:K17,K17)-1,"")</f>
        <v>4</v>
      </c>
      <c r="Z17">
        <f ca="1">IF($B17=1,RANK(L17,L$8:L$25,$B$1)+COUNTIF(L$8:L17,L17)-1,"")</f>
        <v>8</v>
      </c>
      <c r="AB17">
        <f t="shared" ca="1" si="21"/>
        <v>10</v>
      </c>
      <c r="AC17">
        <f t="shared" ca="1" si="22"/>
        <v>6</v>
      </c>
      <c r="AD17">
        <f t="shared" ca="1" si="23"/>
        <v>15</v>
      </c>
      <c r="AE17">
        <f t="shared" ca="1" si="24"/>
        <v>1</v>
      </c>
      <c r="AF17">
        <f t="shared" ca="1" si="25"/>
        <v>12</v>
      </c>
      <c r="AG17">
        <f t="shared" ca="1" si="26"/>
        <v>5</v>
      </c>
      <c r="AI17" t="str">
        <f t="shared" ca="1" si="27"/>
        <v>Mexico</v>
      </c>
      <c r="AJ17" t="str">
        <f t="shared" ca="1" si="28"/>
        <v>Dominican Rep</v>
      </c>
      <c r="AK17" t="str">
        <f t="shared" ca="1" si="29"/>
        <v>Venezuela</v>
      </c>
      <c r="AL17" t="str">
        <f t="shared" ca="1" si="30"/>
        <v>Argentina</v>
      </c>
      <c r="AM17" t="str">
        <f t="shared" ca="1" si="31"/>
        <v>Paraguay</v>
      </c>
      <c r="AN17" t="str">
        <f t="shared" ca="1" si="32"/>
        <v>Colombia</v>
      </c>
      <c r="AP17">
        <f t="shared" ca="1" si="33"/>
        <v>47.5</v>
      </c>
      <c r="AQ17">
        <f t="shared" ca="1" si="34"/>
        <v>50</v>
      </c>
      <c r="AR17">
        <f t="shared" ca="1" si="35"/>
        <v>41.4</v>
      </c>
      <c r="AS17">
        <f t="shared" ca="1" si="36"/>
        <v>33.299999999999997</v>
      </c>
      <c r="AT17">
        <f t="shared" ca="1" si="37"/>
        <v>2</v>
      </c>
      <c r="AU17" s="203">
        <f t="shared" ca="1" si="38"/>
        <v>7.17E-2</v>
      </c>
      <c r="AV17" s="203"/>
      <c r="AW17" s="206">
        <f t="shared" ca="1" si="39"/>
        <v>10</v>
      </c>
      <c r="AX17" s="206">
        <f t="shared" ca="1" si="40"/>
        <v>10</v>
      </c>
      <c r="AY17" s="206">
        <f t="shared" ca="1" si="41"/>
        <v>10</v>
      </c>
      <c r="AZ17" s="206">
        <f t="shared" ca="1" si="42"/>
        <v>10</v>
      </c>
      <c r="BA17" s="206">
        <f t="shared" ca="1" si="43"/>
        <v>5</v>
      </c>
      <c r="BB17" s="206">
        <f t="shared" ca="1" si="44"/>
        <v>10</v>
      </c>
      <c r="BC17" s="206"/>
      <c r="BD17" s="186">
        <f t="shared" ca="1" si="118"/>
        <v>10</v>
      </c>
      <c r="BE17" s="186">
        <f t="shared" ca="1" si="119"/>
        <v>10</v>
      </c>
      <c r="BF17" s="186">
        <f t="shared" ca="1" si="120"/>
        <v>10</v>
      </c>
      <c r="BG17" s="186" t="str">
        <f t="shared" ca="1" si="121"/>
        <v>=10</v>
      </c>
      <c r="BH17" s="186" t="str">
        <f t="shared" ca="1" si="122"/>
        <v>=5</v>
      </c>
      <c r="BI17" s="186">
        <f t="shared" ca="1" si="123"/>
        <v>10</v>
      </c>
      <c r="BK17">
        <f t="shared" ca="1" si="110"/>
        <v>48.3</v>
      </c>
      <c r="BL17">
        <f t="shared" ca="1" si="111"/>
        <v>50</v>
      </c>
      <c r="BM17">
        <f t="shared" ca="1" si="112"/>
        <v>41.3</v>
      </c>
      <c r="BN17">
        <f t="shared" ca="1" si="113"/>
        <v>25</v>
      </c>
      <c r="BO17">
        <f t="shared" ca="1" si="114"/>
        <v>2</v>
      </c>
      <c r="BP17">
        <f t="shared" ca="1" si="115"/>
        <v>0.1</v>
      </c>
      <c r="BR17">
        <f t="shared" ca="1" si="47"/>
        <v>8</v>
      </c>
      <c r="BS17">
        <f t="shared" ca="1" si="48"/>
        <v>8</v>
      </c>
      <c r="BT17">
        <f t="shared" ca="1" si="49"/>
        <v>10</v>
      </c>
      <c r="BU17">
        <f t="shared" ca="1" si="50"/>
        <v>13</v>
      </c>
      <c r="BV17">
        <f t="shared" ca="1" si="51"/>
        <v>5</v>
      </c>
      <c r="BW17">
        <f t="shared" ca="1" si="52"/>
        <v>8</v>
      </c>
      <c r="BY17">
        <f t="shared" ca="1" si="53"/>
        <v>-0.8</v>
      </c>
      <c r="BZ17">
        <f t="shared" ca="1" si="53"/>
        <v>0</v>
      </c>
      <c r="CA17">
        <f t="shared" ca="1" si="53"/>
        <v>0.1</v>
      </c>
      <c r="CB17">
        <f t="shared" ca="1" si="53"/>
        <v>8.3000000000000007</v>
      </c>
      <c r="CC17">
        <f t="shared" ca="1" si="53"/>
        <v>0</v>
      </c>
      <c r="CD17">
        <f t="shared" ca="1" si="53"/>
        <v>0</v>
      </c>
      <c r="CF17" s="206">
        <f t="shared" ca="1" si="54"/>
        <v>-2</v>
      </c>
      <c r="CG17" s="206">
        <f t="shared" ca="1" si="54"/>
        <v>-2</v>
      </c>
      <c r="CH17" s="206">
        <f t="shared" ca="1" si="54"/>
        <v>0</v>
      </c>
      <c r="CI17" s="206">
        <f t="shared" ca="1" si="54"/>
        <v>3</v>
      </c>
      <c r="CJ17" s="206">
        <f t="shared" ca="1" si="54"/>
        <v>0</v>
      </c>
      <c r="CK17" s="206">
        <f t="shared" ca="1" si="54"/>
        <v>-2</v>
      </c>
      <c r="CM17" t="str">
        <f t="shared" ca="1" si="55"/>
        <v>-0.8</v>
      </c>
      <c r="CN17" t="str">
        <f t="shared" ca="1" si="56"/>
        <v>-</v>
      </c>
      <c r="CO17" t="str">
        <f t="shared" ca="1" si="56"/>
        <v>+0.1</v>
      </c>
      <c r="CP17" t="str">
        <f t="shared" ca="1" si="56"/>
        <v>+8.3</v>
      </c>
      <c r="CQ17" t="str">
        <f t="shared" ca="1" si="116"/>
        <v>-</v>
      </c>
      <c r="CR17" t="str">
        <f t="shared" ca="1" si="117"/>
        <v>-</v>
      </c>
      <c r="CT17">
        <f t="shared" ca="1" si="57"/>
        <v>-1</v>
      </c>
      <c r="CU17">
        <f t="shared" ca="1" si="58"/>
        <v>0</v>
      </c>
      <c r="CV17">
        <f t="shared" ca="1" si="58"/>
        <v>1</v>
      </c>
      <c r="CW17">
        <f t="shared" ca="1" si="58"/>
        <v>1</v>
      </c>
      <c r="CX17">
        <f t="shared" ca="1" si="58"/>
        <v>0</v>
      </c>
      <c r="CY17">
        <f t="shared" ca="1" si="58"/>
        <v>0</v>
      </c>
      <c r="DA17" t="str">
        <f t="shared" ca="1" si="59"/>
        <v>-2</v>
      </c>
      <c r="DB17" t="str">
        <f t="shared" ca="1" si="59"/>
        <v>-2</v>
      </c>
      <c r="DC17" t="str">
        <f t="shared" ca="1" si="59"/>
        <v>-</v>
      </c>
      <c r="DD17" t="str">
        <f t="shared" ca="1" si="59"/>
        <v>+3</v>
      </c>
      <c r="DE17" t="str">
        <f t="shared" ca="1" si="59"/>
        <v>-</v>
      </c>
      <c r="DF17" t="str">
        <f t="shared" ca="1" si="59"/>
        <v>-2</v>
      </c>
      <c r="DH17">
        <f t="shared" ca="1" si="60"/>
        <v>-1</v>
      </c>
      <c r="DI17">
        <f t="shared" ca="1" si="60"/>
        <v>-1</v>
      </c>
      <c r="DJ17">
        <f t="shared" ca="1" si="60"/>
        <v>0</v>
      </c>
      <c r="DK17">
        <f t="shared" ca="1" si="60"/>
        <v>1</v>
      </c>
      <c r="DL17">
        <f t="shared" ca="1" si="60"/>
        <v>0</v>
      </c>
      <c r="DM17">
        <f t="shared" ca="1" si="60"/>
        <v>-1</v>
      </c>
      <c r="DO17">
        <f ca="1">RANK(BY17,BY$8:BY$22)+COUNTIF(BY17:BY$22,BY17)-1</f>
        <v>7</v>
      </c>
      <c r="DP17">
        <f ca="1">RANK(BZ17,BZ$8:BZ$22)+COUNTIF(BZ17:BZ$22,BZ17)-1</f>
        <v>6</v>
      </c>
      <c r="DQ17">
        <f ca="1">RANK(CA17,CA$8:CA$22)+COUNTIF(CA17:CA$22,CA17)-1</f>
        <v>5</v>
      </c>
      <c r="DR17">
        <f ca="1">RANK(CB17,CB$8:CB$22)+COUNTIF(CB17:CB$22,CB17)-1</f>
        <v>4</v>
      </c>
      <c r="DS17">
        <f ca="1">RANK(CC17,CC$8:CC$22)+COUNTIF(CC17:CC$22,CC17)-1</f>
        <v>9</v>
      </c>
      <c r="DT17">
        <f ca="1">RANK(CD17,CD$8:CD$22)+COUNTIF(CD17:CD$22,CD17)-1</f>
        <v>6</v>
      </c>
      <c r="DV17">
        <f t="shared" ca="1" si="61"/>
        <v>4</v>
      </c>
      <c r="DW17">
        <f t="shared" ca="1" si="62"/>
        <v>3</v>
      </c>
      <c r="DX17">
        <f t="shared" ca="1" si="63"/>
        <v>7</v>
      </c>
      <c r="DY17">
        <f t="shared" ca="1" si="64"/>
        <v>3</v>
      </c>
      <c r="DZ17">
        <f t="shared" ca="1" si="65"/>
        <v>9</v>
      </c>
      <c r="EA17">
        <f t="shared" ca="1" si="66"/>
        <v>6</v>
      </c>
      <c r="EC17" t="str">
        <f t="shared" ca="1" si="67"/>
        <v>El Salvador</v>
      </c>
      <c r="ED17" t="str">
        <f t="shared" ca="1" si="68"/>
        <v>Ecuador</v>
      </c>
      <c r="EE17" t="str">
        <f t="shared" ca="1" si="69"/>
        <v>Bolivia</v>
      </c>
      <c r="EF17" t="str">
        <f t="shared" ca="1" si="70"/>
        <v>Peru</v>
      </c>
      <c r="EG17" t="str">
        <f t="shared" ca="1" si="71"/>
        <v>Nicaragua</v>
      </c>
      <c r="EH17" t="str">
        <f t="shared" ca="1" si="72"/>
        <v>Chile</v>
      </c>
      <c r="EJ17">
        <f t="shared" ca="1" si="73"/>
        <v>59</v>
      </c>
      <c r="EK17">
        <f t="shared" ca="1" si="74"/>
        <v>75</v>
      </c>
      <c r="EL17">
        <f t="shared" ca="1" si="75"/>
        <v>46.9</v>
      </c>
      <c r="EM17">
        <f t="shared" ca="1" si="76"/>
        <v>75</v>
      </c>
      <c r="EN17">
        <f t="shared" ca="1" si="77"/>
        <v>2</v>
      </c>
      <c r="EO17">
        <f t="shared" ca="1" si="78"/>
        <v>0.19900000000000001</v>
      </c>
      <c r="EQ17">
        <f t="shared" ca="1" si="79"/>
        <v>61.5</v>
      </c>
      <c r="ER17">
        <f t="shared" ca="1" si="80"/>
        <v>75</v>
      </c>
      <c r="ES17">
        <f t="shared" ca="1" si="81"/>
        <v>47.1</v>
      </c>
      <c r="ET17">
        <f t="shared" ca="1" si="82"/>
        <v>75</v>
      </c>
      <c r="EU17">
        <f t="shared" ca="1" si="83"/>
        <v>2</v>
      </c>
      <c r="EV17">
        <f t="shared" ca="1" si="84"/>
        <v>0.2</v>
      </c>
      <c r="EX17" t="str">
        <f t="shared" ca="1" si="85"/>
        <v>-2.5</v>
      </c>
      <c r="EY17" t="str">
        <f t="shared" ca="1" si="86"/>
        <v>-</v>
      </c>
      <c r="EZ17" t="str">
        <f t="shared" ca="1" si="87"/>
        <v>-0.2</v>
      </c>
      <c r="FA17" t="str">
        <f t="shared" ca="1" si="88"/>
        <v>-</v>
      </c>
      <c r="FB17" t="str">
        <f t="shared" ca="1" si="89"/>
        <v>-</v>
      </c>
      <c r="FE17">
        <f t="shared" ca="1" si="90"/>
        <v>-1</v>
      </c>
      <c r="FF17">
        <f t="shared" ca="1" si="91"/>
        <v>0</v>
      </c>
      <c r="FG17">
        <f t="shared" ca="1" si="92"/>
        <v>-1</v>
      </c>
      <c r="FH17">
        <f t="shared" ca="1" si="93"/>
        <v>0</v>
      </c>
      <c r="FI17">
        <f t="shared" ca="1" si="94"/>
        <v>0</v>
      </c>
      <c r="FJ17">
        <f t="shared" ca="1" si="95"/>
        <v>0</v>
      </c>
      <c r="FL17" t="str">
        <f t="shared" ca="1" si="96"/>
        <v>-</v>
      </c>
      <c r="FM17" t="str">
        <f t="shared" ca="1" si="97"/>
        <v>-</v>
      </c>
      <c r="FN17" t="str">
        <f t="shared" ca="1" si="98"/>
        <v>-</v>
      </c>
      <c r="FO17" t="str">
        <f t="shared" ca="1" si="99"/>
        <v>-1</v>
      </c>
      <c r="FP17" t="str">
        <f t="shared" ca="1" si="100"/>
        <v>-</v>
      </c>
      <c r="FQ17" t="str">
        <f t="shared" ca="1" si="101"/>
        <v>-2</v>
      </c>
      <c r="FS17">
        <f t="shared" ca="1" si="102"/>
        <v>0</v>
      </c>
      <c r="FT17">
        <f t="shared" ca="1" si="103"/>
        <v>0</v>
      </c>
      <c r="FU17">
        <f t="shared" ca="1" si="104"/>
        <v>0</v>
      </c>
      <c r="FV17">
        <f t="shared" ca="1" si="105"/>
        <v>-1</v>
      </c>
      <c r="FW17">
        <f t="shared" ca="1" si="106"/>
        <v>0</v>
      </c>
      <c r="FX17">
        <f t="shared" ca="1" si="107"/>
        <v>-1</v>
      </c>
      <c r="FZ17">
        <f t="shared" ca="1" si="108"/>
        <v>4</v>
      </c>
    </row>
    <row r="18" spans="1:182">
      <c r="A18">
        <v>11</v>
      </c>
      <c r="B18">
        <f ca="1">uxb_countries!D17</f>
        <v>1</v>
      </c>
      <c r="C18" t="str">
        <f ca="1">uxb_countries!B17</f>
        <v>Nicaragua</v>
      </c>
      <c r="D18" t="str">
        <f ca="1">uxb_countries!A17</f>
        <v>NI</v>
      </c>
      <c r="E18" s="4">
        <f ca="1">MATCH(D18,uxb_scores_2007!$J$2:$AC$2,0)</f>
        <v>15</v>
      </c>
      <c r="G18" s="3">
        <f ca="1">IF($B18=0,"",ROUND(OFFSET(uxb_scores_2008!$I$2,G$6,$E18),2))</f>
        <v>58</v>
      </c>
      <c r="H18" s="3">
        <f ca="1">IF($B18=0,"",ROUND(OFFSET(uxb_scores_2008!$I$2,H$6,$E18),2))</f>
        <v>56.25</v>
      </c>
      <c r="I18" s="3">
        <f ca="1">IF($B18=0,"",ROUND(OFFSET(uxb_scores_2008!$I$2,I$6,$E18),2))</f>
        <v>44.17</v>
      </c>
      <c r="J18" s="3">
        <f ca="1">IF($B18=0,"",ROUND(OFFSET(uxb_scores_2008!$I$2,J$6,$E18),2))</f>
        <v>66.67</v>
      </c>
      <c r="K18" s="3">
        <f ca="1">IF($B18=0,"",ROUND(OFFSET(uxb_scores_2008!$I$2,K$6,$E18),2))</f>
        <v>2</v>
      </c>
      <c r="L18">
        <f ca="1">IF($B18=0,"",ROUND(OFFSET(uxb_scores_2008!$I$2,L$6,$E18),4))</f>
        <v>0.58350000000000002</v>
      </c>
      <c r="N18">
        <f ca="1">IF($B18=0,"",ROUND(OFFSET(uxb_scores_2007!$I$2,G$6,$E18),2))</f>
        <v>53.83</v>
      </c>
      <c r="O18">
        <f ca="1">IF($B18=0,"",ROUND(OFFSET(uxb_scores_2007!$I$2,H$6,$E18),2))</f>
        <v>56.25</v>
      </c>
      <c r="P18">
        <f ca="1">IF($B18=0,"",ROUND(OFFSET(uxb_scores_2007!$I$2,I$6,$E18),2))</f>
        <v>40</v>
      </c>
      <c r="Q18">
        <f ca="1">IF($B18=0,"",ROUND(OFFSET(uxb_scores_2007!$I$2,J$6,$E18),2))</f>
        <v>58.33</v>
      </c>
      <c r="R18">
        <f ca="1">IF($B18=0,"",ROUND(OFFSET(uxb_scores_2007!$I$2,K$6,$E18),2))</f>
        <v>2</v>
      </c>
      <c r="S18">
        <f ca="1">IF($B18=0,"",ROUND(OFFSET(uxb_scores_2007!$I$2,L$6,$E18),2))</f>
        <v>0.57999999999999996</v>
      </c>
      <c r="U18">
        <f ca="1">IF($B18=1,RANK(G18,G$8:G$25,$B$1)+COUNTIF(G$8:G18,G18)-1,"")</f>
        <v>6</v>
      </c>
      <c r="V18">
        <f ca="1">IF($B18=1,RANK(H18,H$8:H$25,$B$1)+COUNTIF(H$8:H18,H18)-1,"")</f>
        <v>9</v>
      </c>
      <c r="W18">
        <f ca="1">IF($B18=1,RANK(I18,I$8:I$25,$B$1)+COUNTIF(I$8:I18,I18)-1,"")</f>
        <v>9</v>
      </c>
      <c r="X18">
        <f ca="1">IF($B18=1,RANK(J18,J$8:J$25,$B$1)+COUNTIF(J$8:J18,J18)-1,"")</f>
        <v>5</v>
      </c>
      <c r="Y18">
        <f ca="1">IF($B18=1,RANK(K18,K$8:K$25,$B$1)+COUNTIF(K$8:K18,K18)-1,"")</f>
        <v>9</v>
      </c>
      <c r="Z18">
        <f ca="1">IF($B18=1,RANK(L18,L$8:L$25,$B$1)+COUNTIF(L$8:L18,L18)-1,"")</f>
        <v>1</v>
      </c>
      <c r="AB18">
        <f t="shared" ca="1" si="21"/>
        <v>4</v>
      </c>
      <c r="AC18">
        <f t="shared" ca="1" si="22"/>
        <v>3</v>
      </c>
      <c r="AD18">
        <f t="shared" ca="1" si="23"/>
        <v>9</v>
      </c>
      <c r="AE18">
        <f t="shared" ca="1" si="24"/>
        <v>3</v>
      </c>
      <c r="AF18">
        <f t="shared" ca="1" si="25"/>
        <v>1</v>
      </c>
      <c r="AG18">
        <f t="shared" ca="1" si="26"/>
        <v>12</v>
      </c>
      <c r="AI18" t="str">
        <f t="shared" ca="1" si="27"/>
        <v>Chile</v>
      </c>
      <c r="AJ18" t="str">
        <f t="shared" ca="1" si="28"/>
        <v>Brazil</v>
      </c>
      <c r="AK18" t="str">
        <f t="shared" ca="1" si="29"/>
        <v>Guatemala</v>
      </c>
      <c r="AL18" t="str">
        <f t="shared" ca="1" si="30"/>
        <v>Brazil</v>
      </c>
      <c r="AM18" t="str">
        <f t="shared" ca="1" si="31"/>
        <v>Argentina</v>
      </c>
      <c r="AN18" t="str">
        <f t="shared" ca="1" si="32"/>
        <v>Paraguay</v>
      </c>
      <c r="AP18">
        <f t="shared" ca="1" si="33"/>
        <v>43.2</v>
      </c>
      <c r="AQ18">
        <f t="shared" ca="1" si="34"/>
        <v>43.8</v>
      </c>
      <c r="AR18">
        <f t="shared" ca="1" si="35"/>
        <v>40.799999999999997</v>
      </c>
      <c r="AS18">
        <f t="shared" ca="1" si="36"/>
        <v>33.299999999999997</v>
      </c>
      <c r="AT18">
        <f t="shared" ca="1" si="37"/>
        <v>1</v>
      </c>
      <c r="AU18" s="203">
        <f t="shared" ca="1" si="38"/>
        <v>6.1800000000000001E-2</v>
      </c>
      <c r="AV18" s="203"/>
      <c r="AW18" s="206">
        <f t="shared" ca="1" si="39"/>
        <v>11</v>
      </c>
      <c r="AX18" s="206">
        <f t="shared" ca="1" si="40"/>
        <v>11</v>
      </c>
      <c r="AY18" s="206">
        <f t="shared" ca="1" si="41"/>
        <v>11</v>
      </c>
      <c r="AZ18" s="206">
        <f t="shared" ca="1" si="42"/>
        <v>10</v>
      </c>
      <c r="BA18" s="206">
        <f t="shared" ca="1" si="43"/>
        <v>11</v>
      </c>
      <c r="BB18" s="206">
        <f t="shared" ca="1" si="44"/>
        <v>11</v>
      </c>
      <c r="BC18" s="206"/>
      <c r="BD18" s="186">
        <f t="shared" ca="1" si="118"/>
        <v>11</v>
      </c>
      <c r="BE18" s="186">
        <f t="shared" ca="1" si="119"/>
        <v>11</v>
      </c>
      <c r="BF18" s="186">
        <f t="shared" ca="1" si="120"/>
        <v>11</v>
      </c>
      <c r="BG18" s="186" t="str">
        <f t="shared" ca="1" si="121"/>
        <v>=10</v>
      </c>
      <c r="BH18" s="186" t="str">
        <f t="shared" ca="1" si="122"/>
        <v>=11</v>
      </c>
      <c r="BI18" s="186">
        <f t="shared" ca="1" si="123"/>
        <v>11</v>
      </c>
      <c r="BK18">
        <f t="shared" ca="1" si="110"/>
        <v>48.3</v>
      </c>
      <c r="BL18">
        <f t="shared" ca="1" si="111"/>
        <v>43.8</v>
      </c>
      <c r="BM18">
        <f t="shared" ca="1" si="112"/>
        <v>40.799999999999997</v>
      </c>
      <c r="BN18">
        <f t="shared" ca="1" si="113"/>
        <v>33.299999999999997</v>
      </c>
      <c r="BO18">
        <f t="shared" ca="1" si="114"/>
        <v>1</v>
      </c>
      <c r="BP18">
        <f t="shared" ca="1" si="115"/>
        <v>0.1</v>
      </c>
      <c r="BR18">
        <f t="shared" ca="1" si="47"/>
        <v>8</v>
      </c>
      <c r="BS18">
        <f t="shared" ca="1" si="48"/>
        <v>12</v>
      </c>
      <c r="BT18">
        <f t="shared" ca="1" si="49"/>
        <v>12</v>
      </c>
      <c r="BU18">
        <f t="shared" ca="1" si="50"/>
        <v>10</v>
      </c>
      <c r="BV18">
        <f t="shared" ca="1" si="51"/>
        <v>10</v>
      </c>
      <c r="BW18">
        <f t="shared" ca="1" si="52"/>
        <v>8</v>
      </c>
      <c r="BY18">
        <f t="shared" ca="1" si="53"/>
        <v>-5.0999999999999996</v>
      </c>
      <c r="BZ18">
        <f t="shared" ca="1" si="53"/>
        <v>0</v>
      </c>
      <c r="CA18">
        <f t="shared" ca="1" si="53"/>
        <v>0</v>
      </c>
      <c r="CB18">
        <f t="shared" ca="1" si="53"/>
        <v>0</v>
      </c>
      <c r="CC18">
        <f t="shared" ca="1" si="53"/>
        <v>0</v>
      </c>
      <c r="CD18">
        <f t="shared" ca="1" si="53"/>
        <v>0</v>
      </c>
      <c r="CF18" s="206">
        <f t="shared" ca="1" si="54"/>
        <v>-3</v>
      </c>
      <c r="CG18" s="206">
        <f t="shared" ca="1" si="54"/>
        <v>1</v>
      </c>
      <c r="CH18" s="206">
        <f t="shared" ca="1" si="54"/>
        <v>1</v>
      </c>
      <c r="CI18" s="206">
        <f t="shared" ca="1" si="54"/>
        <v>0</v>
      </c>
      <c r="CJ18" s="206">
        <f t="shared" ca="1" si="54"/>
        <v>-1</v>
      </c>
      <c r="CK18" s="206">
        <f t="shared" ca="1" si="54"/>
        <v>-3</v>
      </c>
      <c r="CM18" t="str">
        <f t="shared" ca="1" si="55"/>
        <v>-5.1</v>
      </c>
      <c r="CN18" t="str">
        <f t="shared" ca="1" si="56"/>
        <v>-</v>
      </c>
      <c r="CO18" t="str">
        <f t="shared" ca="1" si="56"/>
        <v>-</v>
      </c>
      <c r="CP18" t="str">
        <f t="shared" ca="1" si="56"/>
        <v>-</v>
      </c>
      <c r="CQ18" t="str">
        <f t="shared" ca="1" si="116"/>
        <v>-</v>
      </c>
      <c r="CR18" t="str">
        <f t="shared" ca="1" si="117"/>
        <v>-</v>
      </c>
      <c r="CT18">
        <f t="shared" ca="1" si="57"/>
        <v>-1</v>
      </c>
      <c r="CU18">
        <f t="shared" ca="1" si="58"/>
        <v>0</v>
      </c>
      <c r="CV18">
        <f t="shared" ca="1" si="58"/>
        <v>0</v>
      </c>
      <c r="CW18">
        <f t="shared" ca="1" si="58"/>
        <v>0</v>
      </c>
      <c r="CX18">
        <f t="shared" ca="1" si="58"/>
        <v>0</v>
      </c>
      <c r="CY18">
        <f t="shared" ca="1" si="58"/>
        <v>0</v>
      </c>
      <c r="DA18" t="str">
        <f t="shared" ca="1" si="59"/>
        <v>-3</v>
      </c>
      <c r="DB18" t="str">
        <f t="shared" ca="1" si="59"/>
        <v>+1</v>
      </c>
      <c r="DC18" t="str">
        <f t="shared" ca="1" si="59"/>
        <v>+1</v>
      </c>
      <c r="DD18" t="str">
        <f t="shared" ca="1" si="59"/>
        <v>-</v>
      </c>
      <c r="DE18" t="str">
        <f t="shared" ca="1" si="59"/>
        <v>-1</v>
      </c>
      <c r="DF18" t="str">
        <f t="shared" ca="1" si="59"/>
        <v>-3</v>
      </c>
      <c r="DH18">
        <f t="shared" ca="1" si="60"/>
        <v>-1</v>
      </c>
      <c r="DI18">
        <f t="shared" ca="1" si="60"/>
        <v>1</v>
      </c>
      <c r="DJ18">
        <f t="shared" ca="1" si="60"/>
        <v>1</v>
      </c>
      <c r="DK18">
        <f t="shared" ca="1" si="60"/>
        <v>0</v>
      </c>
      <c r="DL18">
        <f t="shared" ca="1" si="60"/>
        <v>-1</v>
      </c>
      <c r="DM18">
        <f t="shared" ca="1" si="60"/>
        <v>-1</v>
      </c>
      <c r="DO18">
        <f ca="1">RANK(BY18,BY$8:BY$22)+COUNTIF(BY18:BY$22,BY18)-1</f>
        <v>13</v>
      </c>
      <c r="DP18">
        <f ca="1">RANK(BZ18,BZ$8:BZ$22)+COUNTIF(BZ18:BZ$22,BZ18)-1</f>
        <v>5</v>
      </c>
      <c r="DQ18">
        <f ca="1">RANK(CA18,CA$8:CA$22)+COUNTIF(CA18:CA$22,CA18)-1</f>
        <v>7</v>
      </c>
      <c r="DR18">
        <f ca="1">RANK(CB18,CB$8:CB$22)+COUNTIF(CB18:CB$22,CB18)-1</f>
        <v>8</v>
      </c>
      <c r="DS18">
        <f ca="1">RANK(CC18,CC$8:CC$22)+COUNTIF(CC18:CC$22,CC18)-1</f>
        <v>8</v>
      </c>
      <c r="DT18">
        <f ca="1">RANK(CD18,CD$8:CD$22)+COUNTIF(CD18:CD$22,CD18)-1</f>
        <v>5</v>
      </c>
      <c r="DV18">
        <f t="shared" ca="1" si="61"/>
        <v>8</v>
      </c>
      <c r="DW18">
        <f t="shared" ca="1" si="62"/>
        <v>13</v>
      </c>
      <c r="DX18">
        <f t="shared" ca="1" si="63"/>
        <v>1</v>
      </c>
      <c r="DY18">
        <f t="shared" ca="1" si="64"/>
        <v>2</v>
      </c>
      <c r="DZ18">
        <f t="shared" ca="1" si="65"/>
        <v>7</v>
      </c>
      <c r="EA18">
        <f t="shared" ca="1" si="66"/>
        <v>5</v>
      </c>
      <c r="EC18" t="str">
        <f t="shared" ca="1" si="67"/>
        <v>Paraguay</v>
      </c>
      <c r="ED18" t="str">
        <f t="shared" ca="1" si="68"/>
        <v>Uruguay</v>
      </c>
      <c r="EE18" t="str">
        <f t="shared" ca="1" si="69"/>
        <v>Chile</v>
      </c>
      <c r="EF18" t="str">
        <f t="shared" ca="1" si="70"/>
        <v>Bolivia</v>
      </c>
      <c r="EG18" t="str">
        <f t="shared" ca="1" si="71"/>
        <v>Dominican Rep</v>
      </c>
      <c r="EH18" t="str">
        <f t="shared" ca="1" si="72"/>
        <v>Guatemala</v>
      </c>
      <c r="EJ18">
        <f t="shared" ca="1" si="73"/>
        <v>49.6</v>
      </c>
      <c r="EK18">
        <f t="shared" ca="1" si="74"/>
        <v>31.3</v>
      </c>
      <c r="EL18">
        <f t="shared" ca="1" si="75"/>
        <v>74.2</v>
      </c>
      <c r="EM18">
        <f t="shared" ca="1" si="76"/>
        <v>75</v>
      </c>
      <c r="EN18">
        <f t="shared" ca="1" si="77"/>
        <v>2</v>
      </c>
      <c r="EO18">
        <f t="shared" ca="1" si="78"/>
        <v>0.22700000000000001</v>
      </c>
      <c r="EQ18">
        <f t="shared" ca="1" si="79"/>
        <v>52.9</v>
      </c>
      <c r="ER18">
        <f t="shared" ca="1" si="80"/>
        <v>37.5</v>
      </c>
      <c r="ES18">
        <f t="shared" ca="1" si="81"/>
        <v>75</v>
      </c>
      <c r="ET18">
        <f t="shared" ca="1" si="82"/>
        <v>75</v>
      </c>
      <c r="EU18">
        <f t="shared" ca="1" si="83"/>
        <v>2</v>
      </c>
      <c r="EV18">
        <f t="shared" ca="1" si="84"/>
        <v>0.2</v>
      </c>
      <c r="EX18" t="str">
        <f t="shared" ca="1" si="85"/>
        <v>-3.3</v>
      </c>
      <c r="EY18" t="str">
        <f t="shared" ca="1" si="86"/>
        <v>-6.2</v>
      </c>
      <c r="EZ18" t="str">
        <f t="shared" ca="1" si="87"/>
        <v>-0.8</v>
      </c>
      <c r="FA18" t="str">
        <f t="shared" ca="1" si="88"/>
        <v>-</v>
      </c>
      <c r="FB18" t="str">
        <f t="shared" ca="1" si="89"/>
        <v>-</v>
      </c>
      <c r="FE18">
        <f t="shared" ca="1" si="90"/>
        <v>-1</v>
      </c>
      <c r="FF18">
        <f t="shared" ca="1" si="91"/>
        <v>-1</v>
      </c>
      <c r="FG18">
        <f t="shared" ca="1" si="92"/>
        <v>-1</v>
      </c>
      <c r="FH18">
        <f t="shared" ca="1" si="93"/>
        <v>0</v>
      </c>
      <c r="FI18">
        <f t="shared" ca="1" si="94"/>
        <v>0</v>
      </c>
      <c r="FJ18">
        <f t="shared" ca="1" si="95"/>
        <v>0</v>
      </c>
      <c r="FL18" t="str">
        <f t="shared" ca="1" si="96"/>
        <v>-1</v>
      </c>
      <c r="FM18" t="str">
        <f t="shared" ca="1" si="97"/>
        <v>-</v>
      </c>
      <c r="FN18" t="str">
        <f t="shared" ca="1" si="98"/>
        <v>-</v>
      </c>
      <c r="FO18" t="str">
        <f t="shared" ca="1" si="99"/>
        <v>-1</v>
      </c>
      <c r="FP18" t="str">
        <f t="shared" ca="1" si="100"/>
        <v>-</v>
      </c>
      <c r="FQ18" t="str">
        <f t="shared" ca="1" si="101"/>
        <v>-1</v>
      </c>
      <c r="FS18">
        <f t="shared" ca="1" si="102"/>
        <v>-1</v>
      </c>
      <c r="FT18">
        <f t="shared" ca="1" si="103"/>
        <v>0</v>
      </c>
      <c r="FU18">
        <f t="shared" ca="1" si="104"/>
        <v>0</v>
      </c>
      <c r="FV18">
        <f t="shared" ca="1" si="105"/>
        <v>-1</v>
      </c>
      <c r="FW18">
        <f t="shared" ca="1" si="106"/>
        <v>0</v>
      </c>
      <c r="FX18">
        <f t="shared" ca="1" si="107"/>
        <v>-1</v>
      </c>
      <c r="FZ18">
        <f t="shared" ca="1" si="108"/>
        <v>0</v>
      </c>
    </row>
    <row r="19" spans="1:182">
      <c r="A19">
        <v>12</v>
      </c>
      <c r="B19">
        <f ca="1">uxb_countries!D19</f>
        <v>1</v>
      </c>
      <c r="C19" t="str">
        <f ca="1">uxb_countries!B19</f>
        <v>Paraguay</v>
      </c>
      <c r="D19" t="str">
        <f ca="1">uxb_countries!A19</f>
        <v>PY</v>
      </c>
      <c r="E19" s="4">
        <f ca="1">MATCH(D19,uxb_scores_2007!$J$2:$AC$2,0)</f>
        <v>17</v>
      </c>
      <c r="G19" s="3">
        <f ca="1">IF($B19=0,"",ROUND(OFFSET(uxb_scores_2008!$I$2,G$6,$E19),2))</f>
        <v>49.61</v>
      </c>
      <c r="H19" s="3">
        <f ca="1">IF($B19=0,"",ROUND(OFFSET(uxb_scores_2008!$I$2,H$6,$E19),2))</f>
        <v>62.5</v>
      </c>
      <c r="I19" s="3">
        <f ca="1">IF($B19=0,"",ROUND(OFFSET(uxb_scores_2008!$I$2,I$6,$E19),2))</f>
        <v>39.71</v>
      </c>
      <c r="J19" s="3">
        <f ca="1">IF($B19=0,"",ROUND(OFFSET(uxb_scores_2008!$I$2,J$6,$E19),2))</f>
        <v>41.67</v>
      </c>
      <c r="K19" s="3">
        <f ca="1">IF($B19=0,"",ROUND(OFFSET(uxb_scores_2008!$I$2,K$6,$E19),2))</f>
        <v>2</v>
      </c>
      <c r="L19">
        <f ca="1">IF($B19=0,"",ROUND(OFFSET(uxb_scores_2008!$I$2,L$6,$E19),4))</f>
        <v>6.1800000000000001E-2</v>
      </c>
      <c r="N19">
        <f ca="1">IF($B19=0,"",ROUND(OFFSET(uxb_scores_2007!$I$2,G$6,$E19),2))</f>
        <v>52.92</v>
      </c>
      <c r="O19">
        <f ca="1">IF($B19=0,"",ROUND(OFFSET(uxb_scores_2007!$I$2,H$6,$E19),2))</f>
        <v>62.5</v>
      </c>
      <c r="P19">
        <f ca="1">IF($B19=0,"",ROUND(OFFSET(uxb_scores_2007!$I$2,I$6,$E19),2))</f>
        <v>39.58</v>
      </c>
      <c r="Q19">
        <f ca="1">IF($B19=0,"",ROUND(OFFSET(uxb_scores_2007!$I$2,J$6,$E19),2))</f>
        <v>50</v>
      </c>
      <c r="R19">
        <f ca="1">IF($B19=0,"",ROUND(OFFSET(uxb_scores_2007!$I$2,K$6,$E19),2))</f>
        <v>2</v>
      </c>
      <c r="S19">
        <f ca="1">IF($B19=0,"",ROUND(OFFSET(uxb_scores_2007!$I$2,L$6,$E19),2))</f>
        <v>0.06</v>
      </c>
      <c r="U19">
        <f ca="1">IF($B19=1,RANK(G19,G$8:G$25,$B$1)+COUNTIF(G$8:G19,G19)-1,"")</f>
        <v>8</v>
      </c>
      <c r="V19">
        <f ca="1">IF($B19=1,RANK(H19,H$8:H$25,$B$1)+COUNTIF(H$8:H19,H19)-1,"")</f>
        <v>5</v>
      </c>
      <c r="W19">
        <f ca="1">IF($B19=1,RANK(I19,I$8:I$25,$B$1)+COUNTIF(I$8:I19,I19)-1,"")</f>
        <v>13</v>
      </c>
      <c r="X19">
        <f ca="1">IF($B19=1,RANK(J19,J$8:J$25,$B$1)+COUNTIF(J$8:J19,J19)-1,"")</f>
        <v>9</v>
      </c>
      <c r="Y19">
        <f ca="1">IF($B19=1,RANK(K19,K$8:K$25,$B$1)+COUNTIF(K$8:K19,K19)-1,"")</f>
        <v>10</v>
      </c>
      <c r="Z19">
        <f ca="1">IF($B19=1,RANK(L19,L$8:L$25,$B$1)+COUNTIF(L$8:L19,L19)-1,"")</f>
        <v>11</v>
      </c>
      <c r="AB19">
        <f t="shared" ca="1" si="21"/>
        <v>3</v>
      </c>
      <c r="AC19">
        <f t="shared" ca="1" si="22"/>
        <v>4</v>
      </c>
      <c r="AD19">
        <f t="shared" ca="1" si="23"/>
        <v>6</v>
      </c>
      <c r="AE19">
        <f t="shared" ca="1" si="24"/>
        <v>4</v>
      </c>
      <c r="AF19">
        <f t="shared" ca="1" si="25"/>
        <v>4</v>
      </c>
      <c r="AG19">
        <f t="shared" ca="1" si="26"/>
        <v>14</v>
      </c>
      <c r="AI19" t="str">
        <f t="shared" ca="1" si="27"/>
        <v>Brazil</v>
      </c>
      <c r="AJ19" t="str">
        <f t="shared" ca="1" si="28"/>
        <v>Chile</v>
      </c>
      <c r="AK19" t="str">
        <f t="shared" ca="1" si="29"/>
        <v>Dominican Rep</v>
      </c>
      <c r="AL19" t="str">
        <f t="shared" ca="1" si="30"/>
        <v>Chile</v>
      </c>
      <c r="AM19" t="str">
        <f t="shared" ca="1" si="31"/>
        <v>Chile</v>
      </c>
      <c r="AN19" t="str">
        <f t="shared" ca="1" si="32"/>
        <v>Uruguay</v>
      </c>
      <c r="AP19">
        <f t="shared" ca="1" si="33"/>
        <v>41.6</v>
      </c>
      <c r="AQ19">
        <f t="shared" ca="1" si="34"/>
        <v>37.5</v>
      </c>
      <c r="AR19">
        <f t="shared" ca="1" si="35"/>
        <v>40</v>
      </c>
      <c r="AS19">
        <f t="shared" ca="1" si="36"/>
        <v>33.299999999999997</v>
      </c>
      <c r="AT19">
        <f t="shared" ca="1" si="37"/>
        <v>1</v>
      </c>
      <c r="AU19" s="203">
        <f t="shared" ca="1" si="38"/>
        <v>1.8499999999999999E-2</v>
      </c>
      <c r="AV19" s="203"/>
      <c r="AW19" s="206">
        <f t="shared" ca="1" si="39"/>
        <v>12</v>
      </c>
      <c r="AX19" s="206">
        <f t="shared" ca="1" si="40"/>
        <v>12</v>
      </c>
      <c r="AY19" s="206">
        <f t="shared" ca="1" si="41"/>
        <v>12</v>
      </c>
      <c r="AZ19" s="206">
        <f t="shared" ca="1" si="42"/>
        <v>10</v>
      </c>
      <c r="BA19" s="206">
        <f t="shared" ca="1" si="43"/>
        <v>11</v>
      </c>
      <c r="BB19" s="206">
        <f t="shared" ca="1" si="44"/>
        <v>12</v>
      </c>
      <c r="BC19" s="206"/>
      <c r="BD19" s="186">
        <f t="shared" ca="1" si="118"/>
        <v>12</v>
      </c>
      <c r="BE19" s="186">
        <f t="shared" ca="1" si="119"/>
        <v>12</v>
      </c>
      <c r="BF19" s="186">
        <f t="shared" ca="1" si="120"/>
        <v>12</v>
      </c>
      <c r="BG19" s="186" t="str">
        <f t="shared" ca="1" si="121"/>
        <v>=10</v>
      </c>
      <c r="BH19" s="186" t="str">
        <f t="shared" ca="1" si="122"/>
        <v>=11</v>
      </c>
      <c r="BI19" s="186">
        <f t="shared" ca="1" si="123"/>
        <v>12</v>
      </c>
      <c r="BK19">
        <f t="shared" ca="1" si="110"/>
        <v>43.3</v>
      </c>
      <c r="BL19">
        <f t="shared" ca="1" si="111"/>
        <v>50</v>
      </c>
      <c r="BM19">
        <f t="shared" ca="1" si="112"/>
        <v>37.5</v>
      </c>
      <c r="BN19">
        <f t="shared" ca="1" si="113"/>
        <v>33.299999999999997</v>
      </c>
      <c r="BO19">
        <f t="shared" ca="1" si="114"/>
        <v>1</v>
      </c>
      <c r="BP19">
        <f t="shared" ca="1" si="115"/>
        <v>0</v>
      </c>
      <c r="BR19">
        <f t="shared" ca="1" si="47"/>
        <v>12</v>
      </c>
      <c r="BS19">
        <f t="shared" ca="1" si="48"/>
        <v>8</v>
      </c>
      <c r="BT19">
        <f t="shared" ca="1" si="49"/>
        <v>15</v>
      </c>
      <c r="BU19">
        <f t="shared" ca="1" si="50"/>
        <v>10</v>
      </c>
      <c r="BV19">
        <f t="shared" ca="1" si="51"/>
        <v>10</v>
      </c>
      <c r="BW19">
        <f t="shared" ca="1" si="52"/>
        <v>12</v>
      </c>
      <c r="BY19">
        <f t="shared" ca="1" si="53"/>
        <v>-1.7</v>
      </c>
      <c r="BZ19">
        <f t="shared" ca="1" si="53"/>
        <v>-12.5</v>
      </c>
      <c r="CA19">
        <f t="shared" ca="1" si="53"/>
        <v>2.5</v>
      </c>
      <c r="CB19">
        <f t="shared" ca="1" si="53"/>
        <v>0</v>
      </c>
      <c r="CC19">
        <f t="shared" ca="1" si="53"/>
        <v>0</v>
      </c>
      <c r="CD19">
        <f t="shared" ca="1" si="53"/>
        <v>0</v>
      </c>
      <c r="CF19" s="206">
        <f t="shared" ref="CF19:CK22" ca="1" si="124">BR19-AW19</f>
        <v>0</v>
      </c>
      <c r="CG19" s="206">
        <f t="shared" ca="1" si="124"/>
        <v>-4</v>
      </c>
      <c r="CH19" s="206">
        <f t="shared" ca="1" si="124"/>
        <v>3</v>
      </c>
      <c r="CI19" s="206">
        <f t="shared" ca="1" si="124"/>
        <v>0</v>
      </c>
      <c r="CJ19" s="206">
        <f t="shared" ca="1" si="124"/>
        <v>-1</v>
      </c>
      <c r="CK19" s="206">
        <f t="shared" ca="1" si="124"/>
        <v>0</v>
      </c>
      <c r="CM19" t="str">
        <f t="shared" ca="1" si="55"/>
        <v>-1.7</v>
      </c>
      <c r="CN19" t="str">
        <f t="shared" ref="CN19:CP22" ca="1" si="125">IF(BL19=-1,"",IF(BZ19=0,"-",IF(BZ19&gt;0,CONCATENATE("+",TEXT(BZ19,"0.0")),CONCATENATE("-",TEXT(ABS(BZ19),"0.0")))))</f>
        <v>-12.5</v>
      </c>
      <c r="CO19" t="str">
        <f t="shared" ca="1" si="125"/>
        <v>+2.5</v>
      </c>
      <c r="CP19" t="str">
        <f t="shared" ca="1" si="125"/>
        <v>-</v>
      </c>
      <c r="CQ19" t="str">
        <f t="shared" ca="1" si="116"/>
        <v>-</v>
      </c>
      <c r="CR19" t="str">
        <f t="shared" ca="1" si="117"/>
        <v>-</v>
      </c>
      <c r="CT19">
        <f t="shared" ca="1" si="57"/>
        <v>-1</v>
      </c>
      <c r="CU19">
        <f t="shared" ref="CU19:CY22" ca="1" si="126">IF(BL19=-1,0,IF(BZ19=0,0,IF(BZ19&gt;0,1,-1)))</f>
        <v>-1</v>
      </c>
      <c r="CV19">
        <f t="shared" ca="1" si="126"/>
        <v>1</v>
      </c>
      <c r="CW19">
        <f t="shared" ca="1" si="126"/>
        <v>0</v>
      </c>
      <c r="CX19">
        <f t="shared" ca="1" si="126"/>
        <v>0</v>
      </c>
      <c r="CY19">
        <f t="shared" ca="1" si="126"/>
        <v>0</v>
      </c>
      <c r="DA19" t="str">
        <f t="shared" ref="DA19:DF22" ca="1" si="127">IF(BK19=-1,"new",IF(CF19=0,"-",IF(CF19&gt;0,CONCATENATE("+",CF19),CONCATENATE("-",ABS(CF19)))))</f>
        <v>-</v>
      </c>
      <c r="DB19" t="str">
        <f t="shared" ca="1" si="127"/>
        <v>-4</v>
      </c>
      <c r="DC19" t="str">
        <f t="shared" ca="1" si="127"/>
        <v>+3</v>
      </c>
      <c r="DD19" t="str">
        <f t="shared" ca="1" si="127"/>
        <v>-</v>
      </c>
      <c r="DE19" t="str">
        <f t="shared" ca="1" si="127"/>
        <v>-1</v>
      </c>
      <c r="DF19" t="str">
        <f t="shared" ca="1" si="127"/>
        <v>-</v>
      </c>
      <c r="DH19">
        <f t="shared" ref="DH19:DM22" ca="1" si="128">IF(BK19=-1,0,IF(CF19=0,0,IF(CF19&gt;0,1,-1)))</f>
        <v>0</v>
      </c>
      <c r="DI19">
        <f t="shared" ca="1" si="128"/>
        <v>-1</v>
      </c>
      <c r="DJ19">
        <f t="shared" ca="1" si="128"/>
        <v>1</v>
      </c>
      <c r="DK19">
        <f t="shared" ca="1" si="128"/>
        <v>0</v>
      </c>
      <c r="DL19">
        <f t="shared" ca="1" si="128"/>
        <v>-1</v>
      </c>
      <c r="DM19">
        <f t="shared" ca="1" si="128"/>
        <v>0</v>
      </c>
      <c r="DO19">
        <f ca="1">RANK(BY19,BY$8:BY$22)+COUNTIF(BY19:BY$22,BY19)-1</f>
        <v>8</v>
      </c>
      <c r="DP19">
        <f ca="1">RANK(BZ19,BZ$8:BZ$22)+COUNTIF(BZ19:BZ$22,BZ19)-1</f>
        <v>14</v>
      </c>
      <c r="DQ19">
        <f ca="1">RANK(CA19,CA$8:CA$22)+COUNTIF(CA19:CA$22,CA19)-1</f>
        <v>3</v>
      </c>
      <c r="DR19">
        <f ca="1">RANK(CB19,CB$8:CB$22)+COUNTIF(CB19:CB$22,CB19)-1</f>
        <v>7</v>
      </c>
      <c r="DS19">
        <f ca="1">RANK(CC19,CC$8:CC$22)+COUNTIF(CC19:CC$22,CC19)-1</f>
        <v>7</v>
      </c>
      <c r="DT19">
        <f ca="1">RANK(CD19,CD$8:CD$22)+COUNTIF(CD19:CD$22,CD19)-1</f>
        <v>4</v>
      </c>
      <c r="DV19">
        <f t="shared" ca="1" si="61"/>
        <v>2</v>
      </c>
      <c r="DW19">
        <f t="shared" ca="1" si="62"/>
        <v>6</v>
      </c>
      <c r="DX19">
        <f t="shared" ca="1" si="63"/>
        <v>14</v>
      </c>
      <c r="DY19">
        <f t="shared" ca="1" si="64"/>
        <v>14</v>
      </c>
      <c r="DZ19">
        <f t="shared" ca="1" si="65"/>
        <v>5</v>
      </c>
      <c r="EA19">
        <f t="shared" ca="1" si="66"/>
        <v>4</v>
      </c>
      <c r="EC19" t="str">
        <f t="shared" ca="1" si="67"/>
        <v>Bolivia</v>
      </c>
      <c r="ED19" t="str">
        <f t="shared" ca="1" si="68"/>
        <v>El Salvador</v>
      </c>
      <c r="EE19" t="str">
        <f t="shared" ca="1" si="69"/>
        <v>Argentina</v>
      </c>
      <c r="EF19" t="str">
        <f t="shared" ca="1" si="70"/>
        <v>Uruguay</v>
      </c>
      <c r="EG19" t="str">
        <f t="shared" ca="1" si="71"/>
        <v>Brazil</v>
      </c>
      <c r="EH19" t="str">
        <f t="shared" ca="1" si="72"/>
        <v>Peru</v>
      </c>
      <c r="EJ19">
        <f t="shared" ca="1" si="73"/>
        <v>74.400000000000006</v>
      </c>
      <c r="EK19">
        <f t="shared" ca="1" si="74"/>
        <v>56.3</v>
      </c>
      <c r="EL19">
        <f t="shared" ca="1" si="75"/>
        <v>38.299999999999997</v>
      </c>
      <c r="EM19">
        <f t="shared" ca="1" si="76"/>
        <v>16.7</v>
      </c>
      <c r="EN19">
        <f t="shared" ca="1" si="77"/>
        <v>2</v>
      </c>
      <c r="EO19">
        <f t="shared" ca="1" si="78"/>
        <v>0.23519999999999999</v>
      </c>
      <c r="EQ19">
        <f t="shared" ca="1" si="79"/>
        <v>79.400000000000006</v>
      </c>
      <c r="ER19">
        <f t="shared" ca="1" si="80"/>
        <v>62.5</v>
      </c>
      <c r="ES19">
        <f t="shared" ca="1" si="81"/>
        <v>46.7</v>
      </c>
      <c r="ET19">
        <f t="shared" ca="1" si="82"/>
        <v>25</v>
      </c>
      <c r="EU19">
        <f t="shared" ca="1" si="83"/>
        <v>2</v>
      </c>
      <c r="EV19">
        <f t="shared" ca="1" si="84"/>
        <v>0.2</v>
      </c>
      <c r="EX19" t="str">
        <f t="shared" ca="1" si="85"/>
        <v>-5.0</v>
      </c>
      <c r="EY19" t="str">
        <f t="shared" ca="1" si="86"/>
        <v>-6.2</v>
      </c>
      <c r="EZ19" t="str">
        <f t="shared" ca="1" si="87"/>
        <v>-8.4</v>
      </c>
      <c r="FA19" t="str">
        <f t="shared" ca="1" si="88"/>
        <v>-8.3</v>
      </c>
      <c r="FB19" t="str">
        <f t="shared" ca="1" si="89"/>
        <v>-</v>
      </c>
      <c r="FE19">
        <f t="shared" ca="1" si="90"/>
        <v>-1</v>
      </c>
      <c r="FF19">
        <f t="shared" ca="1" si="91"/>
        <v>-1</v>
      </c>
      <c r="FG19">
        <f t="shared" ca="1" si="92"/>
        <v>-1</v>
      </c>
      <c r="FH19">
        <f t="shared" ca="1" si="93"/>
        <v>-1</v>
      </c>
      <c r="FI19">
        <f t="shared" ca="1" si="94"/>
        <v>0</v>
      </c>
      <c r="FJ19">
        <f t="shared" ca="1" si="95"/>
        <v>0</v>
      </c>
      <c r="FL19" t="str">
        <f t="shared" ca="1" si="96"/>
        <v>-1</v>
      </c>
      <c r="FM19" t="str">
        <f t="shared" ca="1" si="97"/>
        <v>-2</v>
      </c>
      <c r="FN19" t="str">
        <f t="shared" ca="1" si="98"/>
        <v>-5</v>
      </c>
      <c r="FO19" t="str">
        <f t="shared" ca="1" si="99"/>
        <v>-1</v>
      </c>
      <c r="FP19" t="str">
        <f t="shared" ca="1" si="100"/>
        <v>-</v>
      </c>
      <c r="FQ19" t="str">
        <f t="shared" ca="1" si="101"/>
        <v>-</v>
      </c>
      <c r="FS19">
        <f t="shared" ca="1" si="102"/>
        <v>-1</v>
      </c>
      <c r="FT19">
        <f t="shared" ca="1" si="103"/>
        <v>-1</v>
      </c>
      <c r="FU19">
        <f t="shared" ca="1" si="104"/>
        <v>-1</v>
      </c>
      <c r="FV19">
        <f t="shared" ca="1" si="105"/>
        <v>-1</v>
      </c>
      <c r="FW19">
        <f t="shared" ca="1" si="106"/>
        <v>0</v>
      </c>
      <c r="FX19">
        <f t="shared" ca="1" si="107"/>
        <v>0</v>
      </c>
      <c r="FZ19">
        <f t="shared" ca="1" si="108"/>
        <v>10</v>
      </c>
    </row>
    <row r="20" spans="1:182">
      <c r="A20">
        <v>13</v>
      </c>
      <c r="B20">
        <f ca="1">uxb_countries!D20</f>
        <v>1</v>
      </c>
      <c r="C20" t="str">
        <f ca="1">uxb_countries!B20</f>
        <v>Peru</v>
      </c>
      <c r="D20" t="str">
        <f ca="1">uxb_countries!A20</f>
        <v>PE</v>
      </c>
      <c r="E20" s="4">
        <f ca="1">MATCH(D20,uxb_scores_2007!$J$2:$AC$2,0)</f>
        <v>18</v>
      </c>
      <c r="G20" s="3">
        <f ca="1">IF($B20=0,"",ROUND(OFFSET(uxb_scores_2008!$I$2,G$6,$E20),2))</f>
        <v>76.61</v>
      </c>
      <c r="H20" s="3">
        <f ca="1">IF($B20=0,"",ROUND(OFFSET(uxb_scores_2008!$I$2,H$6,$E20),2))</f>
        <v>87.5</v>
      </c>
      <c r="I20" s="3">
        <f ca="1">IF($B20=0,"",ROUND(OFFSET(uxb_scores_2008!$I$2,I$6,$E20),2))</f>
        <v>58.04</v>
      </c>
      <c r="J20" s="3">
        <f ca="1">IF($B20=0,"",ROUND(OFFSET(uxb_scores_2008!$I$2,J$6,$E20),2))</f>
        <v>75</v>
      </c>
      <c r="K20" s="3">
        <f ca="1">IF($B20=0,"",ROUND(OFFSET(uxb_scores_2008!$I$2,K$6,$E20),2))</f>
        <v>4</v>
      </c>
      <c r="L20">
        <f ca="1">IF($B20=0,"",ROUND(OFFSET(uxb_scores_2008!$I$2,L$6,$E20),4))</f>
        <v>0.23519999999999999</v>
      </c>
      <c r="N20">
        <f ca="1">IF($B20=0,"",ROUND(OFFSET(uxb_scores_2007!$I$2,G$6,$E20),2))</f>
        <v>74.08</v>
      </c>
      <c r="O20">
        <f ca="1">IF($B20=0,"",ROUND(OFFSET(uxb_scores_2007!$I$2,H$6,$E20),2))</f>
        <v>81.25</v>
      </c>
      <c r="P20">
        <f ca="1">IF($B20=0,"",ROUND(OFFSET(uxb_scores_2007!$I$2,I$6,$E20),2))</f>
        <v>57.92</v>
      </c>
      <c r="Q20">
        <f ca="1">IF($B20=0,"",ROUND(OFFSET(uxb_scores_2007!$I$2,J$6,$E20),2))</f>
        <v>75</v>
      </c>
      <c r="R20">
        <f ca="1">IF($B20=0,"",ROUND(OFFSET(uxb_scores_2007!$I$2,K$6,$E20),2))</f>
        <v>3</v>
      </c>
      <c r="S20">
        <f ca="1">IF($B20=0,"",ROUND(OFFSET(uxb_scores_2007!$I$2,L$6,$E20),2))</f>
        <v>0.24</v>
      </c>
      <c r="U20">
        <f ca="1">IF($B20=1,RANK(G20,G$8:G$25,$B$1)+COUNTIF(G$8:G20,G20)-1,"")</f>
        <v>1</v>
      </c>
      <c r="V20">
        <f ca="1">IF($B20=1,RANK(H20,H$8:H$25,$B$1)+COUNTIF(H$8:H20,H20)-1,"")</f>
        <v>2</v>
      </c>
      <c r="W20">
        <f ca="1">IF($B20=1,RANK(I20,I$8:I$25,$B$1)+COUNTIF(I$8:I20,I20)-1,"")</f>
        <v>3</v>
      </c>
      <c r="X20">
        <f ca="1">IF($B20=1,RANK(J20,J$8:J$25,$B$1)+COUNTIF(J$8:J20,J20)-1,"")</f>
        <v>3</v>
      </c>
      <c r="Y20">
        <f ca="1">IF($B20=1,RANK(K20,K$8:K$25,$B$1)+COUNTIF(K$8:K20,K20)-1,"")</f>
        <v>1</v>
      </c>
      <c r="Z20">
        <f ca="1">IF($B20=1,RANK(L20,L$8:L$25,$B$1)+COUNTIF(L$8:L20,L20)-1,"")</f>
        <v>4</v>
      </c>
      <c r="AB20">
        <f t="shared" ca="1" si="21"/>
        <v>1</v>
      </c>
      <c r="AC20">
        <f t="shared" ca="1" si="22"/>
        <v>14</v>
      </c>
      <c r="AD20">
        <f t="shared" ca="1" si="23"/>
        <v>12</v>
      </c>
      <c r="AE20">
        <f t="shared" ca="1" si="24"/>
        <v>10</v>
      </c>
      <c r="AF20">
        <f t="shared" ca="1" si="25"/>
        <v>9</v>
      </c>
      <c r="AG20">
        <f t="shared" ca="1" si="26"/>
        <v>15</v>
      </c>
      <c r="AI20" t="str">
        <f t="shared" ca="1" si="27"/>
        <v>Argentina</v>
      </c>
      <c r="AJ20" t="str">
        <f t="shared" ca="1" si="28"/>
        <v>Uruguay</v>
      </c>
      <c r="AK20" t="str">
        <f t="shared" ca="1" si="29"/>
        <v>Paraguay</v>
      </c>
      <c r="AL20" t="str">
        <f t="shared" ca="1" si="30"/>
        <v>Mexico</v>
      </c>
      <c r="AM20" t="str">
        <f t="shared" ca="1" si="31"/>
        <v>Guatemala</v>
      </c>
      <c r="AN20" t="str">
        <f t="shared" ca="1" si="32"/>
        <v>Venezuela</v>
      </c>
      <c r="AP20">
        <f t="shared" ca="1" si="33"/>
        <v>28.5</v>
      </c>
      <c r="AQ20">
        <f t="shared" ca="1" si="34"/>
        <v>31.3</v>
      </c>
      <c r="AR20">
        <f t="shared" ca="1" si="35"/>
        <v>39.700000000000003</v>
      </c>
      <c r="AS20">
        <f t="shared" ca="1" si="36"/>
        <v>33.299999999999997</v>
      </c>
      <c r="AT20">
        <f t="shared" ca="1" si="37"/>
        <v>1</v>
      </c>
      <c r="AU20" s="203">
        <f t="shared" ca="1" si="38"/>
        <v>1.38E-2</v>
      </c>
      <c r="AV20" s="203"/>
      <c r="AW20" s="206">
        <f t="shared" ca="1" si="39"/>
        <v>13</v>
      </c>
      <c r="AX20" s="206">
        <f t="shared" ca="1" si="40"/>
        <v>13</v>
      </c>
      <c r="AY20" s="206">
        <f t="shared" ca="1" si="41"/>
        <v>13</v>
      </c>
      <c r="AZ20" s="206">
        <f t="shared" ca="1" si="42"/>
        <v>10</v>
      </c>
      <c r="BA20" s="206">
        <f t="shared" ca="1" si="43"/>
        <v>11</v>
      </c>
      <c r="BB20" s="206">
        <f t="shared" ca="1" si="44"/>
        <v>13</v>
      </c>
      <c r="BC20" s="206"/>
      <c r="BD20" s="186">
        <f t="shared" ca="1" si="118"/>
        <v>13</v>
      </c>
      <c r="BE20" s="186">
        <f t="shared" ca="1" si="119"/>
        <v>13</v>
      </c>
      <c r="BF20" s="186">
        <f t="shared" ca="1" si="120"/>
        <v>13</v>
      </c>
      <c r="BG20" s="186" t="str">
        <f t="shared" ca="1" si="121"/>
        <v>=10</v>
      </c>
      <c r="BH20" s="186" t="str">
        <f t="shared" ca="1" si="122"/>
        <v>=11</v>
      </c>
      <c r="BI20" s="186">
        <f t="shared" ca="1" si="123"/>
        <v>13</v>
      </c>
      <c r="BK20">
        <f t="shared" ca="1" si="110"/>
        <v>26.8</v>
      </c>
      <c r="BL20">
        <f t="shared" ca="1" si="111"/>
        <v>37.5</v>
      </c>
      <c r="BM20">
        <f t="shared" ca="1" si="112"/>
        <v>39.6</v>
      </c>
      <c r="BN20">
        <f t="shared" ca="1" si="113"/>
        <v>41.7</v>
      </c>
      <c r="BO20">
        <f t="shared" ca="1" si="114"/>
        <v>1</v>
      </c>
      <c r="BP20">
        <f t="shared" ca="1" si="115"/>
        <v>0</v>
      </c>
      <c r="BR20">
        <f t="shared" ca="1" si="47"/>
        <v>15</v>
      </c>
      <c r="BS20">
        <f t="shared" ca="1" si="48"/>
        <v>13</v>
      </c>
      <c r="BT20">
        <f t="shared" ca="1" si="49"/>
        <v>14</v>
      </c>
      <c r="BU20">
        <f t="shared" ca="1" si="50"/>
        <v>8</v>
      </c>
      <c r="BV20">
        <f t="shared" ca="1" si="51"/>
        <v>10</v>
      </c>
      <c r="BW20">
        <f t="shared" ca="1" si="52"/>
        <v>12</v>
      </c>
      <c r="BY20">
        <f t="shared" ca="1" si="53"/>
        <v>1.7</v>
      </c>
      <c r="BZ20">
        <f t="shared" ca="1" si="53"/>
        <v>-6.2</v>
      </c>
      <c r="CA20">
        <f t="shared" ca="1" si="53"/>
        <v>0.1</v>
      </c>
      <c r="CB20">
        <f t="shared" ca="1" si="53"/>
        <v>-8.4</v>
      </c>
      <c r="CC20">
        <f t="shared" ca="1" si="53"/>
        <v>0</v>
      </c>
      <c r="CD20">
        <f t="shared" ca="1" si="53"/>
        <v>0</v>
      </c>
      <c r="CF20" s="206">
        <f t="shared" ca="1" si="124"/>
        <v>2</v>
      </c>
      <c r="CG20" s="206">
        <f t="shared" ca="1" si="124"/>
        <v>0</v>
      </c>
      <c r="CH20" s="206">
        <f t="shared" ca="1" si="124"/>
        <v>1</v>
      </c>
      <c r="CI20" s="206">
        <f t="shared" ca="1" si="124"/>
        <v>-2</v>
      </c>
      <c r="CJ20" s="206">
        <f t="shared" ca="1" si="124"/>
        <v>-1</v>
      </c>
      <c r="CK20" s="206">
        <f t="shared" ca="1" si="124"/>
        <v>-1</v>
      </c>
      <c r="CM20" t="str">
        <f t="shared" ca="1" si="55"/>
        <v>+1.7</v>
      </c>
      <c r="CN20" t="str">
        <f t="shared" ca="1" si="125"/>
        <v>-6.2</v>
      </c>
      <c r="CO20" t="str">
        <f t="shared" ca="1" si="125"/>
        <v>+0.1</v>
      </c>
      <c r="CP20" t="str">
        <f t="shared" ca="1" si="125"/>
        <v>-8.4</v>
      </c>
      <c r="CQ20" t="str">
        <f t="shared" ca="1" si="116"/>
        <v>-</v>
      </c>
      <c r="CR20" t="str">
        <f t="shared" ca="1" si="117"/>
        <v>-</v>
      </c>
      <c r="CT20">
        <f t="shared" ca="1" si="57"/>
        <v>1</v>
      </c>
      <c r="CU20">
        <f t="shared" ca="1" si="126"/>
        <v>-1</v>
      </c>
      <c r="CV20">
        <f t="shared" ca="1" si="126"/>
        <v>1</v>
      </c>
      <c r="CW20">
        <f t="shared" ca="1" si="126"/>
        <v>-1</v>
      </c>
      <c r="CX20">
        <f t="shared" ca="1" si="126"/>
        <v>0</v>
      </c>
      <c r="CY20">
        <f t="shared" ca="1" si="126"/>
        <v>0</v>
      </c>
      <c r="DA20" t="str">
        <f t="shared" ca="1" si="127"/>
        <v>+2</v>
      </c>
      <c r="DB20" t="str">
        <f t="shared" ca="1" si="127"/>
        <v>-</v>
      </c>
      <c r="DC20" t="str">
        <f t="shared" ca="1" si="127"/>
        <v>+1</v>
      </c>
      <c r="DD20" t="str">
        <f t="shared" ca="1" si="127"/>
        <v>-2</v>
      </c>
      <c r="DE20" t="str">
        <f t="shared" ca="1" si="127"/>
        <v>-1</v>
      </c>
      <c r="DF20" t="str">
        <f t="shared" ca="1" si="127"/>
        <v>-1</v>
      </c>
      <c r="DH20">
        <f t="shared" ca="1" si="128"/>
        <v>1</v>
      </c>
      <c r="DI20">
        <f t="shared" ca="1" si="128"/>
        <v>0</v>
      </c>
      <c r="DJ20">
        <f t="shared" ca="1" si="128"/>
        <v>1</v>
      </c>
      <c r="DK20">
        <f t="shared" ca="1" si="128"/>
        <v>-1</v>
      </c>
      <c r="DL20">
        <f t="shared" ca="1" si="128"/>
        <v>-1</v>
      </c>
      <c r="DM20">
        <f t="shared" ca="1" si="128"/>
        <v>-1</v>
      </c>
      <c r="DO20">
        <f ca="1">RANK(BY20,BY$8:BY$22)+COUNTIF(BY20:BY$22,BY20)-1</f>
        <v>5</v>
      </c>
      <c r="DP20">
        <f ca="1">RANK(BZ20,BZ$8:BZ$22)+COUNTIF(BZ20:BZ$22,BZ20)-1</f>
        <v>11</v>
      </c>
      <c r="DQ20">
        <f ca="1">RANK(CA20,CA$8:CA$22)+COUNTIF(CA20:CA$22,CA20)-1</f>
        <v>4</v>
      </c>
      <c r="DR20">
        <f ca="1">RANK(CB20,CB$8:CB$22)+COUNTIF(CB20:CB$22,CB20)-1</f>
        <v>14</v>
      </c>
      <c r="DS20">
        <f ca="1">RANK(CC20,CC$8:CC$22)+COUNTIF(CC20:CC$22,CC20)-1</f>
        <v>6</v>
      </c>
      <c r="DT20">
        <f ca="1">RANK(CD20,CD$8:CD$22)+COUNTIF(CD20:CD$22,CD20)-1</f>
        <v>3</v>
      </c>
      <c r="DV20">
        <f t="shared" ca="1" si="61"/>
        <v>11</v>
      </c>
      <c r="DW20">
        <f t="shared" ca="1" si="62"/>
        <v>14</v>
      </c>
      <c r="DX20">
        <f t="shared" ca="1" si="63"/>
        <v>8</v>
      </c>
      <c r="DY20">
        <f t="shared" ca="1" si="64"/>
        <v>9</v>
      </c>
      <c r="DZ20">
        <f t="shared" ca="1" si="65"/>
        <v>3</v>
      </c>
      <c r="EA20">
        <f t="shared" ca="1" si="66"/>
        <v>3</v>
      </c>
      <c r="EC20" t="str">
        <f t="shared" ca="1" si="67"/>
        <v>Chile</v>
      </c>
      <c r="ED20" t="str">
        <f t="shared" ca="1" si="68"/>
        <v>Venezuela</v>
      </c>
      <c r="EE20" t="str">
        <f t="shared" ca="1" si="69"/>
        <v>Uruguay</v>
      </c>
      <c r="EF20" t="str">
        <f t="shared" ca="1" si="70"/>
        <v>Paraguay</v>
      </c>
      <c r="EG20" t="str">
        <f t="shared" ca="1" si="71"/>
        <v>Ecuador</v>
      </c>
      <c r="EH20" t="str">
        <f t="shared" ca="1" si="72"/>
        <v>Ecuador</v>
      </c>
      <c r="EJ20">
        <f t="shared" ca="1" si="73"/>
        <v>43.2</v>
      </c>
      <c r="EK20">
        <f t="shared" ca="1" si="74"/>
        <v>25</v>
      </c>
      <c r="EL20">
        <f t="shared" ca="1" si="75"/>
        <v>45.8</v>
      </c>
      <c r="EM20">
        <f t="shared" ca="1" si="76"/>
        <v>41.7</v>
      </c>
      <c r="EN20">
        <f t="shared" ca="1" si="77"/>
        <v>3</v>
      </c>
      <c r="EO20">
        <f t="shared" ca="1" si="78"/>
        <v>0.26900000000000002</v>
      </c>
      <c r="EQ20">
        <f t="shared" ca="1" si="79"/>
        <v>48.3</v>
      </c>
      <c r="ER20">
        <f t="shared" ca="1" si="80"/>
        <v>31.3</v>
      </c>
      <c r="ES20">
        <f t="shared" ca="1" si="81"/>
        <v>54.2</v>
      </c>
      <c r="ET20">
        <f t="shared" ca="1" si="82"/>
        <v>50</v>
      </c>
      <c r="EU20">
        <f t="shared" ca="1" si="83"/>
        <v>3</v>
      </c>
      <c r="EV20">
        <f t="shared" ca="1" si="84"/>
        <v>0.3</v>
      </c>
      <c r="EX20" t="str">
        <f t="shared" ca="1" si="85"/>
        <v>-5.1</v>
      </c>
      <c r="EY20" t="str">
        <f t="shared" ca="1" si="86"/>
        <v>-6.3</v>
      </c>
      <c r="EZ20" t="str">
        <f t="shared" ca="1" si="87"/>
        <v>-8.4</v>
      </c>
      <c r="FA20" t="str">
        <f t="shared" ca="1" si="88"/>
        <v>-8.3</v>
      </c>
      <c r="FB20" t="str">
        <f t="shared" ca="1" si="89"/>
        <v>-</v>
      </c>
      <c r="FE20">
        <f t="shared" ca="1" si="90"/>
        <v>-1</v>
      </c>
      <c r="FF20">
        <f t="shared" ca="1" si="91"/>
        <v>-1</v>
      </c>
      <c r="FG20">
        <f t="shared" ca="1" si="92"/>
        <v>-1</v>
      </c>
      <c r="FH20">
        <f t="shared" ca="1" si="93"/>
        <v>-1</v>
      </c>
      <c r="FI20">
        <f t="shared" ca="1" si="94"/>
        <v>0</v>
      </c>
      <c r="FJ20">
        <f t="shared" ca="1" si="95"/>
        <v>0</v>
      </c>
      <c r="FL20" t="str">
        <f t="shared" ca="1" si="96"/>
        <v>-3</v>
      </c>
      <c r="FM20" t="str">
        <f t="shared" ca="1" si="97"/>
        <v>-</v>
      </c>
      <c r="FN20" t="str">
        <f t="shared" ca="1" si="98"/>
        <v>-3</v>
      </c>
      <c r="FO20" t="str">
        <f t="shared" ca="1" si="99"/>
        <v>-2</v>
      </c>
      <c r="FP20" t="str">
        <f t="shared" ca="1" si="100"/>
        <v>-</v>
      </c>
      <c r="FQ20" t="str">
        <f t="shared" ca="1" si="101"/>
        <v>-1</v>
      </c>
      <c r="FS20">
        <f t="shared" ca="1" si="102"/>
        <v>-1</v>
      </c>
      <c r="FT20">
        <f t="shared" ca="1" si="103"/>
        <v>0</v>
      </c>
      <c r="FU20">
        <f t="shared" ca="1" si="104"/>
        <v>-1</v>
      </c>
      <c r="FV20">
        <f t="shared" ca="1" si="105"/>
        <v>-1</v>
      </c>
      <c r="FW20">
        <f t="shared" ca="1" si="106"/>
        <v>0</v>
      </c>
      <c r="FX20">
        <f t="shared" ca="1" si="107"/>
        <v>-1</v>
      </c>
      <c r="FZ20">
        <f t="shared" ca="1" si="108"/>
        <v>4</v>
      </c>
    </row>
    <row r="21" spans="1:182">
      <c r="A21">
        <v>14</v>
      </c>
      <c r="B21">
        <f ca="1">uxb_countries!D21</f>
        <v>1</v>
      </c>
      <c r="C21" t="str">
        <f ca="1">uxb_countries!B21</f>
        <v>Uruguay</v>
      </c>
      <c r="D21" t="str">
        <f ca="1">uxb_countries!A21</f>
        <v>UR</v>
      </c>
      <c r="E21" s="4">
        <f ca="1">MATCH(D21,uxb_scores_2007!$J$2:$AC$2,0)</f>
        <v>19</v>
      </c>
      <c r="G21" s="3">
        <f ca="1">IF($B21=0,"",ROUND(OFFSET(uxb_scores_2008!$I$2,G$6,$E21),2))</f>
        <v>28.33</v>
      </c>
      <c r="H21" s="3">
        <f ca="1">IF($B21=0,"",ROUND(OFFSET(uxb_scores_2008!$I$2,H$6,$E21),2))</f>
        <v>31.25</v>
      </c>
      <c r="I21" s="3">
        <f ca="1">IF($B21=0,"",ROUND(OFFSET(uxb_scores_2008!$I$2,I$6,$E21),2))</f>
        <v>45.83</v>
      </c>
      <c r="J21" s="3">
        <f ca="1">IF($B21=0,"",ROUND(OFFSET(uxb_scores_2008!$I$2,J$6,$E21),2))</f>
        <v>16.670000000000002</v>
      </c>
      <c r="K21" s="3">
        <f ca="1">IF($B21=0,"",ROUND(OFFSET(uxb_scores_2008!$I$2,K$6,$E21),2))</f>
        <v>1</v>
      </c>
      <c r="L21">
        <f ca="1">IF($B21=0,"",ROUND(OFFSET(uxb_scores_2008!$I$2,L$6,$E21),4))</f>
        <v>1.8499999999999999E-2</v>
      </c>
      <c r="N21">
        <f ca="1">IF($B21=0,"",ROUND(OFFSET(uxb_scores_2007!$I$2,G$6,$E21),2))</f>
        <v>35.83</v>
      </c>
      <c r="O21">
        <f ca="1">IF($B21=0,"",ROUND(OFFSET(uxb_scores_2007!$I$2,H$6,$E21),2))</f>
        <v>37.5</v>
      </c>
      <c r="P21">
        <f ca="1">IF($B21=0,"",ROUND(OFFSET(uxb_scores_2007!$I$2,I$6,$E21),2))</f>
        <v>54.17</v>
      </c>
      <c r="Q21">
        <f ca="1">IF($B21=0,"",ROUND(OFFSET(uxb_scores_2007!$I$2,J$6,$E21),2))</f>
        <v>25</v>
      </c>
      <c r="R21">
        <f ca="1">IF($B21=0,"",ROUND(OFFSET(uxb_scores_2007!$I$2,K$6,$E21),2))</f>
        <v>1</v>
      </c>
      <c r="S21">
        <f ca="1">IF($B21=0,"",ROUND(OFFSET(uxb_scores_2007!$I$2,L$6,$E21),2))</f>
        <v>0.02</v>
      </c>
      <c r="U21">
        <f ca="1">IF($B21=1,RANK(G21,G$8:G$25,$B$1)+COUNTIF(G$8:G21,G21)-1,"")</f>
        <v>14</v>
      </c>
      <c r="V21">
        <f ca="1">IF($B21=1,RANK(H21,H$8:H$25,$B$1)+COUNTIF(H$8:H21,H21)-1,"")</f>
        <v>13</v>
      </c>
      <c r="W21">
        <f ca="1">IF($B21=1,RANK(I21,I$8:I$25,$B$1)+COUNTIF(I$8:I21,I21)-1,"")</f>
        <v>8</v>
      </c>
      <c r="X21">
        <f ca="1">IF($B21=1,RANK(J21,J$8:J$25,$B$1)+COUNTIF(J$8:J21,J21)-1,"")</f>
        <v>14</v>
      </c>
      <c r="Y21">
        <f ca="1">IF($B21=1,RANK(K21,K$8:K$25,$B$1)+COUNTIF(K$8:K21,K21)-1,"")</f>
        <v>14</v>
      </c>
      <c r="Z21">
        <f ca="1">IF($B21=1,RANK(L21,L$8:L$25,$B$1)+COUNTIF(L$8:L21,L21)-1,"")</f>
        <v>12</v>
      </c>
      <c r="AB21">
        <f t="shared" ca="1" si="21"/>
        <v>14</v>
      </c>
      <c r="AC21">
        <f t="shared" ca="1" si="22"/>
        <v>15</v>
      </c>
      <c r="AD21">
        <f t="shared" ca="1" si="23"/>
        <v>1</v>
      </c>
      <c r="AE21">
        <f t="shared" ca="1" si="24"/>
        <v>14</v>
      </c>
      <c r="AF21">
        <f t="shared" ca="1" si="25"/>
        <v>14</v>
      </c>
      <c r="AG21">
        <f t="shared" ca="1" si="26"/>
        <v>3</v>
      </c>
      <c r="AI21" t="str">
        <f t="shared" ca="1" si="27"/>
        <v>Uruguay</v>
      </c>
      <c r="AJ21" t="str">
        <f t="shared" ca="1" si="28"/>
        <v>Venezuela</v>
      </c>
      <c r="AK21" t="str">
        <f t="shared" ca="1" si="29"/>
        <v>Argentina</v>
      </c>
      <c r="AL21" t="str">
        <f t="shared" ca="1" si="30"/>
        <v>Uruguay</v>
      </c>
      <c r="AM21" t="str">
        <f t="shared" ca="1" si="31"/>
        <v>Uruguay</v>
      </c>
      <c r="AN21" t="str">
        <f t="shared" ca="1" si="32"/>
        <v>Brazil</v>
      </c>
      <c r="AP21">
        <f t="shared" ca="1" si="33"/>
        <v>28.3</v>
      </c>
      <c r="AQ21">
        <f t="shared" ca="1" si="34"/>
        <v>25</v>
      </c>
      <c r="AR21">
        <f t="shared" ca="1" si="35"/>
        <v>38.299999999999997</v>
      </c>
      <c r="AS21">
        <f t="shared" ca="1" si="36"/>
        <v>16.7</v>
      </c>
      <c r="AT21">
        <f t="shared" ca="1" si="37"/>
        <v>1</v>
      </c>
      <c r="AU21" s="203">
        <f t="shared" ca="1" si="38"/>
        <v>1.29E-2</v>
      </c>
      <c r="AV21" s="203"/>
      <c r="AW21" s="206">
        <f t="shared" ca="1" si="39"/>
        <v>14</v>
      </c>
      <c r="AX21" s="206">
        <f t="shared" ca="1" si="40"/>
        <v>14</v>
      </c>
      <c r="AY21" s="206">
        <f t="shared" ca="1" si="41"/>
        <v>14</v>
      </c>
      <c r="AZ21" s="206">
        <f t="shared" ca="1" si="42"/>
        <v>14</v>
      </c>
      <c r="BA21" s="206">
        <f t="shared" ca="1" si="43"/>
        <v>11</v>
      </c>
      <c r="BB21" s="206">
        <f t="shared" ca="1" si="44"/>
        <v>14</v>
      </c>
      <c r="BC21" s="206"/>
      <c r="BD21" s="186">
        <f t="shared" ca="1" si="118"/>
        <v>14</v>
      </c>
      <c r="BE21" s="186">
        <f t="shared" ca="1" si="119"/>
        <v>14</v>
      </c>
      <c r="BF21" s="186">
        <f t="shared" ca="1" si="120"/>
        <v>14</v>
      </c>
      <c r="BG21" s="186" t="str">
        <f t="shared" ca="1" si="121"/>
        <v>=14</v>
      </c>
      <c r="BH21" s="186" t="str">
        <f t="shared" ca="1" si="122"/>
        <v>=11</v>
      </c>
      <c r="BI21" s="186">
        <f t="shared" ca="1" si="123"/>
        <v>14</v>
      </c>
      <c r="BK21">
        <f t="shared" ca="1" si="110"/>
        <v>35.799999999999997</v>
      </c>
      <c r="BL21">
        <f t="shared" ca="1" si="111"/>
        <v>31.3</v>
      </c>
      <c r="BM21">
        <f t="shared" ca="1" si="112"/>
        <v>46.7</v>
      </c>
      <c r="BN21">
        <f t="shared" ca="1" si="113"/>
        <v>25</v>
      </c>
      <c r="BO21">
        <f t="shared" ca="1" si="114"/>
        <v>1</v>
      </c>
      <c r="BP21">
        <f t="shared" ca="1" si="115"/>
        <v>0</v>
      </c>
      <c r="BR21">
        <f t="shared" ca="1" si="47"/>
        <v>13</v>
      </c>
      <c r="BS21">
        <f t="shared" ca="1" si="48"/>
        <v>14</v>
      </c>
      <c r="BT21">
        <f t="shared" ca="1" si="49"/>
        <v>9</v>
      </c>
      <c r="BU21">
        <f t="shared" ca="1" si="50"/>
        <v>13</v>
      </c>
      <c r="BV21">
        <f t="shared" ca="1" si="51"/>
        <v>10</v>
      </c>
      <c r="BW21">
        <f t="shared" ca="1" si="52"/>
        <v>12</v>
      </c>
      <c r="BY21">
        <f t="shared" ca="1" si="53"/>
        <v>-7.5</v>
      </c>
      <c r="BZ21">
        <f t="shared" ca="1" si="53"/>
        <v>-6.3</v>
      </c>
      <c r="CA21">
        <f t="shared" ca="1" si="53"/>
        <v>-8.4</v>
      </c>
      <c r="CB21">
        <f t="shared" ca="1" si="53"/>
        <v>-8.3000000000000007</v>
      </c>
      <c r="CC21">
        <f t="shared" ca="1" si="53"/>
        <v>0</v>
      </c>
      <c r="CD21">
        <f t="shared" ca="1" si="53"/>
        <v>0</v>
      </c>
      <c r="CF21" s="206">
        <f t="shared" ca="1" si="124"/>
        <v>-1</v>
      </c>
      <c r="CG21" s="206">
        <f t="shared" ca="1" si="124"/>
        <v>0</v>
      </c>
      <c r="CH21" s="206">
        <f t="shared" ca="1" si="124"/>
        <v>-5</v>
      </c>
      <c r="CI21" s="206">
        <f t="shared" ca="1" si="124"/>
        <v>-1</v>
      </c>
      <c r="CJ21" s="206">
        <f t="shared" ca="1" si="124"/>
        <v>-1</v>
      </c>
      <c r="CK21" s="206">
        <f t="shared" ca="1" si="124"/>
        <v>-2</v>
      </c>
      <c r="CM21" t="str">
        <f t="shared" ca="1" si="55"/>
        <v>-7.5</v>
      </c>
      <c r="CN21" t="str">
        <f t="shared" ca="1" si="125"/>
        <v>-6.3</v>
      </c>
      <c r="CO21" t="str">
        <f t="shared" ca="1" si="125"/>
        <v>-8.4</v>
      </c>
      <c r="CP21" t="str">
        <f t="shared" ca="1" si="125"/>
        <v>-8.3</v>
      </c>
      <c r="CQ21" t="str">
        <f t="shared" ca="1" si="116"/>
        <v>-</v>
      </c>
      <c r="CR21" t="str">
        <f t="shared" ca="1" si="117"/>
        <v>-</v>
      </c>
      <c r="CT21">
        <f t="shared" ca="1" si="57"/>
        <v>-1</v>
      </c>
      <c r="CU21">
        <f t="shared" ca="1" si="126"/>
        <v>-1</v>
      </c>
      <c r="CV21">
        <f t="shared" ca="1" si="126"/>
        <v>-1</v>
      </c>
      <c r="CW21">
        <f t="shared" ca="1" si="126"/>
        <v>-1</v>
      </c>
      <c r="CX21">
        <f t="shared" ca="1" si="126"/>
        <v>0</v>
      </c>
      <c r="CY21">
        <f t="shared" ca="1" si="126"/>
        <v>0</v>
      </c>
      <c r="DA21" t="str">
        <f t="shared" ca="1" si="127"/>
        <v>-1</v>
      </c>
      <c r="DB21" t="str">
        <f t="shared" ca="1" si="127"/>
        <v>-</v>
      </c>
      <c r="DC21" t="str">
        <f t="shared" ca="1" si="127"/>
        <v>-5</v>
      </c>
      <c r="DD21" t="str">
        <f t="shared" ca="1" si="127"/>
        <v>-1</v>
      </c>
      <c r="DE21" t="str">
        <f t="shared" ca="1" si="127"/>
        <v>-1</v>
      </c>
      <c r="DF21" t="str">
        <f t="shared" ca="1" si="127"/>
        <v>-2</v>
      </c>
      <c r="DH21">
        <f t="shared" ca="1" si="128"/>
        <v>-1</v>
      </c>
      <c r="DI21">
        <f t="shared" ca="1" si="128"/>
        <v>0</v>
      </c>
      <c r="DJ21">
        <f t="shared" ca="1" si="128"/>
        <v>-1</v>
      </c>
      <c r="DK21">
        <f t="shared" ca="1" si="128"/>
        <v>-1</v>
      </c>
      <c r="DL21">
        <f t="shared" ca="1" si="128"/>
        <v>-1</v>
      </c>
      <c r="DM21">
        <f t="shared" ca="1" si="128"/>
        <v>-1</v>
      </c>
      <c r="DO21">
        <f ca="1">RANK(BY21,BY$8:BY$22)+COUNTIF(BY21:BY$22,BY21)-1</f>
        <v>14</v>
      </c>
      <c r="DP21">
        <f ca="1">RANK(BZ21,BZ$8:BZ$22)+COUNTIF(BZ21:BZ$22,BZ21)-1</f>
        <v>13</v>
      </c>
      <c r="DQ21">
        <f ca="1">RANK(CA21,CA$8:CA$22)+COUNTIF(CA21:CA$22,CA21)-1</f>
        <v>12</v>
      </c>
      <c r="DR21">
        <f ca="1">RANK(CB21,CB$8:CB$22)+COUNTIF(CB21:CB$22,CB21)-1</f>
        <v>12</v>
      </c>
      <c r="DS21">
        <f ca="1">RANK(CC21,CC$8:CC$22)+COUNTIF(CC21:CC$22,CC21)-1</f>
        <v>5</v>
      </c>
      <c r="DT21">
        <f ca="1">RANK(CD21,CD$8:CD$22)+COUNTIF(CD21:CD$22,CD21)-1</f>
        <v>2</v>
      </c>
      <c r="DV21">
        <f t="shared" ca="1" si="61"/>
        <v>14</v>
      </c>
      <c r="DW21">
        <f t="shared" ca="1" si="62"/>
        <v>12</v>
      </c>
      <c r="DX21">
        <f t="shared" ca="1" si="63"/>
        <v>4</v>
      </c>
      <c r="DY21">
        <f t="shared" ca="1" si="64"/>
        <v>13</v>
      </c>
      <c r="DZ21">
        <f t="shared" ca="1" si="65"/>
        <v>8</v>
      </c>
      <c r="EA21">
        <f t="shared" ca="1" si="66"/>
        <v>2</v>
      </c>
      <c r="EC21" t="str">
        <f t="shared" ca="1" si="67"/>
        <v>Uruguay</v>
      </c>
      <c r="ED21" t="str">
        <f t="shared" ca="1" si="68"/>
        <v>Chile</v>
      </c>
      <c r="EE21" t="str">
        <f t="shared" ca="1" si="69"/>
        <v>Brazil</v>
      </c>
      <c r="EF21" t="str">
        <f t="shared" ca="1" si="70"/>
        <v>Mexico</v>
      </c>
      <c r="EG21" t="str">
        <f t="shared" ca="1" si="71"/>
        <v>El Salvador</v>
      </c>
      <c r="EH21" t="str">
        <f t="shared" ca="1" si="72"/>
        <v>Bolivia</v>
      </c>
      <c r="EJ21">
        <f t="shared" ca="1" si="73"/>
        <v>28.3</v>
      </c>
      <c r="EK21">
        <f t="shared" ca="1" si="74"/>
        <v>37.5</v>
      </c>
      <c r="EL21">
        <f t="shared" ca="1" si="75"/>
        <v>53.6</v>
      </c>
      <c r="EM21">
        <f t="shared" ca="1" si="76"/>
        <v>33.299999999999997</v>
      </c>
      <c r="EN21">
        <f t="shared" ca="1" si="77"/>
        <v>2</v>
      </c>
      <c r="EO21">
        <f t="shared" ca="1" si="78"/>
        <v>0.31559999999999999</v>
      </c>
      <c r="EQ21">
        <f t="shared" ca="1" si="79"/>
        <v>35.799999999999997</v>
      </c>
      <c r="ER21">
        <f t="shared" ca="1" si="80"/>
        <v>50</v>
      </c>
      <c r="ES21">
        <f t="shared" ca="1" si="81"/>
        <v>62.1</v>
      </c>
      <c r="ET21">
        <f t="shared" ca="1" si="82"/>
        <v>41.7</v>
      </c>
      <c r="EU21">
        <f t="shared" ca="1" si="83"/>
        <v>3</v>
      </c>
      <c r="EV21">
        <f t="shared" ca="1" si="84"/>
        <v>0.3</v>
      </c>
      <c r="EX21" t="str">
        <f t="shared" ca="1" si="85"/>
        <v>-7.5</v>
      </c>
      <c r="EY21" t="str">
        <f t="shared" ca="1" si="86"/>
        <v>-12.5</v>
      </c>
      <c r="EZ21" t="str">
        <f t="shared" ca="1" si="87"/>
        <v>-8.5</v>
      </c>
      <c r="FA21" t="str">
        <f t="shared" ca="1" si="88"/>
        <v>-8.4</v>
      </c>
      <c r="FB21" t="str">
        <f t="shared" ca="1" si="89"/>
        <v>-1.0</v>
      </c>
      <c r="FE21">
        <f t="shared" ca="1" si="90"/>
        <v>-1</v>
      </c>
      <c r="FF21">
        <f t="shared" ca="1" si="91"/>
        <v>-1</v>
      </c>
      <c r="FG21">
        <f t="shared" ca="1" si="92"/>
        <v>-1</v>
      </c>
      <c r="FH21">
        <f t="shared" ca="1" si="93"/>
        <v>-1</v>
      </c>
      <c r="FI21">
        <f t="shared" ca="1" si="94"/>
        <v>-1</v>
      </c>
      <c r="FJ21">
        <f t="shared" ca="1" si="95"/>
        <v>0</v>
      </c>
      <c r="FL21" t="str">
        <f t="shared" ca="1" si="96"/>
        <v>-1</v>
      </c>
      <c r="FM21" t="str">
        <f t="shared" ca="1" si="97"/>
        <v>-4</v>
      </c>
      <c r="FN21" t="str">
        <f t="shared" ca="1" si="98"/>
        <v>-2</v>
      </c>
      <c r="FO21" t="str">
        <f t="shared" ca="1" si="99"/>
        <v>-2</v>
      </c>
      <c r="FP21" t="str">
        <f t="shared" ca="1" si="100"/>
        <v>-3</v>
      </c>
      <c r="FQ21" t="str">
        <f t="shared" ca="1" si="101"/>
        <v>-</v>
      </c>
      <c r="FS21">
        <f t="shared" ca="1" si="102"/>
        <v>-1</v>
      </c>
      <c r="FT21">
        <f t="shared" ca="1" si="103"/>
        <v>-1</v>
      </c>
      <c r="FU21">
        <f t="shared" ca="1" si="104"/>
        <v>-1</v>
      </c>
      <c r="FV21">
        <f t="shared" ca="1" si="105"/>
        <v>-1</v>
      </c>
      <c r="FW21">
        <f t="shared" ca="1" si="106"/>
        <v>-1</v>
      </c>
      <c r="FX21">
        <f t="shared" ca="1" si="107"/>
        <v>0</v>
      </c>
      <c r="FZ21">
        <f t="shared" ca="1" si="108"/>
        <v>-1</v>
      </c>
    </row>
    <row r="22" spans="1:182">
      <c r="A22">
        <v>15</v>
      </c>
      <c r="B22">
        <f ca="1">uxb_countries!D22</f>
        <v>1</v>
      </c>
      <c r="C22" t="str">
        <f ca="1">uxb_countries!B22</f>
        <v>Venezuela</v>
      </c>
      <c r="D22" t="str">
        <f ca="1">uxb_countries!A22</f>
        <v>VE</v>
      </c>
      <c r="E22" s="4">
        <f ca="1">MATCH(D22,uxb_scores_2007!$J$2:$AC$2,0)</f>
        <v>20</v>
      </c>
      <c r="G22" s="3">
        <f ca="1">IF($B22=0,"",ROUND(OFFSET(uxb_scores_2008!$I$2,G$6,$E22),2))</f>
        <v>24.94</v>
      </c>
      <c r="H22" s="3">
        <f ca="1">IF($B22=0,"",ROUND(OFFSET(uxb_scores_2008!$I$2,H$6,$E22),2))</f>
        <v>25</v>
      </c>
      <c r="I22" s="3">
        <f ca="1">IF($B22=0,"",ROUND(OFFSET(uxb_scores_2008!$I$2,I$6,$E22),2))</f>
        <v>41.38</v>
      </c>
      <c r="J22" s="3">
        <f ca="1">IF($B22=0,"",ROUND(OFFSET(uxb_scores_2008!$I$2,J$6,$E22),2))</f>
        <v>16.670000000000002</v>
      </c>
      <c r="K22" s="3">
        <f ca="1">IF($B22=0,"",ROUND(OFFSET(uxb_scores_2008!$I$2,K$6,$E22),2))</f>
        <v>1</v>
      </c>
      <c r="L22">
        <f ca="1">IF($B22=0,"",ROUND(OFFSET(uxb_scores_2008!$I$2,L$6,$E22),4))</f>
        <v>1.38E-2</v>
      </c>
      <c r="N22">
        <f ca="1">IF($B22=0,"",ROUND(OFFSET(uxb_scores_2007!$I$2,G$6,$E22),2))</f>
        <v>27.42</v>
      </c>
      <c r="O22">
        <f ca="1">IF($B22=0,"",ROUND(OFFSET(uxb_scores_2007!$I$2,H$6,$E22),2))</f>
        <v>31.25</v>
      </c>
      <c r="P22">
        <f ca="1">IF($B22=0,"",ROUND(OFFSET(uxb_scores_2007!$I$2,I$6,$E22),2))</f>
        <v>41.25</v>
      </c>
      <c r="Q22">
        <f ca="1">IF($B22=0,"",ROUND(OFFSET(uxb_scores_2007!$I$2,J$6,$E22),2))</f>
        <v>16.670000000000002</v>
      </c>
      <c r="R22">
        <f ca="1">IF($B22=0,"",ROUND(OFFSET(uxb_scores_2007!$I$2,K$6,$E22),2))</f>
        <v>1</v>
      </c>
      <c r="S22">
        <f ca="1">IF($B22=0,"",ROUND(OFFSET(uxb_scores_2007!$I$2,L$6,$E22),2))</f>
        <v>0.01</v>
      </c>
      <c r="U22">
        <f ca="1">IF($B22=1,RANK(G22,G$8:G$25,$B$1)+COUNTIF(G$8:G22,G22)-1,"")</f>
        <v>15</v>
      </c>
      <c r="V22">
        <f ca="1">IF($B22=1,RANK(H22,H$8:H$25,$B$1)+COUNTIF(H$8:H22,H22)-1,"")</f>
        <v>14</v>
      </c>
      <c r="W22">
        <f ca="1">IF($B22=1,RANK(I22,I$8:I$25,$B$1)+COUNTIF(I$8:I22,I22)-1,"")</f>
        <v>10</v>
      </c>
      <c r="X22">
        <f ca="1">IF($B22=1,RANK(J22,J$8:J$25,$B$1)+COUNTIF(J$8:J22,J22)-1,"")</f>
        <v>15</v>
      </c>
      <c r="Y22">
        <f ca="1">IF($B22=1,RANK(K22,K$8:K$25,$B$1)+COUNTIF(K$8:K22,K22)-1,"")</f>
        <v>15</v>
      </c>
      <c r="Z22">
        <f ca="1">IF($B22=1,RANK(L22,L$8:L$25,$B$1)+COUNTIF(L$8:L22,L22)-1,"")</f>
        <v>13</v>
      </c>
      <c r="AB22">
        <f t="shared" ca="1" si="21"/>
        <v>15</v>
      </c>
      <c r="AC22">
        <f t="shared" ca="1" si="22"/>
        <v>1</v>
      </c>
      <c r="AD22">
        <f t="shared" ca="1" si="23"/>
        <v>7</v>
      </c>
      <c r="AE22">
        <f t="shared" ca="1" si="24"/>
        <v>15</v>
      </c>
      <c r="AF22">
        <f t="shared" ca="1" si="25"/>
        <v>15</v>
      </c>
      <c r="AG22">
        <f t="shared" ca="1" si="26"/>
        <v>1</v>
      </c>
      <c r="AI22" t="str">
        <f t="shared" ca="1" si="27"/>
        <v>Venezuela</v>
      </c>
      <c r="AJ22" t="str">
        <f t="shared" ca="1" si="28"/>
        <v>Argentina</v>
      </c>
      <c r="AK22" t="str">
        <f t="shared" ca="1" si="29"/>
        <v>Ecuador</v>
      </c>
      <c r="AL22" t="str">
        <f t="shared" ca="1" si="30"/>
        <v>Venezuela</v>
      </c>
      <c r="AM22" t="str">
        <f t="shared" ca="1" si="31"/>
        <v>Venezuela</v>
      </c>
      <c r="AN22" t="str">
        <f t="shared" ca="1" si="32"/>
        <v>Argentina</v>
      </c>
      <c r="AP22">
        <f t="shared" ca="1" si="33"/>
        <v>24.9</v>
      </c>
      <c r="AQ22">
        <f t="shared" ca="1" si="34"/>
        <v>18.8</v>
      </c>
      <c r="AR22">
        <f t="shared" ca="1" si="35"/>
        <v>31.7</v>
      </c>
      <c r="AS22">
        <f t="shared" ca="1" si="36"/>
        <v>16.7</v>
      </c>
      <c r="AT22">
        <f t="shared" ca="1" si="37"/>
        <v>1</v>
      </c>
      <c r="AU22" s="203">
        <f t="shared" ca="1" si="38"/>
        <v>2.8E-3</v>
      </c>
      <c r="AV22" s="203"/>
      <c r="AW22" s="206">
        <f t="shared" ca="1" si="39"/>
        <v>15</v>
      </c>
      <c r="AX22" s="206">
        <f t="shared" ca="1" si="40"/>
        <v>15</v>
      </c>
      <c r="AY22" s="206">
        <f t="shared" ca="1" si="41"/>
        <v>15</v>
      </c>
      <c r="AZ22" s="206">
        <f t="shared" ca="1" si="42"/>
        <v>14</v>
      </c>
      <c r="BA22" s="206">
        <f t="shared" ca="1" si="43"/>
        <v>11</v>
      </c>
      <c r="BB22" s="206">
        <f t="shared" ca="1" si="44"/>
        <v>15</v>
      </c>
      <c r="BC22" s="206"/>
      <c r="BD22" s="186">
        <f t="shared" ca="1" si="118"/>
        <v>15</v>
      </c>
      <c r="BE22" s="186">
        <f t="shared" ca="1" si="119"/>
        <v>15</v>
      </c>
      <c r="BF22" s="186">
        <f t="shared" ca="1" si="120"/>
        <v>15</v>
      </c>
      <c r="BG22" s="186" t="str">
        <f t="shared" ca="1" si="121"/>
        <v>=14</v>
      </c>
      <c r="BH22" s="186" t="str">
        <f t="shared" ca="1" si="122"/>
        <v>=11</v>
      </c>
      <c r="BI22" s="186">
        <f t="shared" ca="1" si="123"/>
        <v>15</v>
      </c>
      <c r="BK22">
        <f t="shared" ca="1" si="110"/>
        <v>27.4</v>
      </c>
      <c r="BL22">
        <f t="shared" ca="1" si="111"/>
        <v>18.8</v>
      </c>
      <c r="BM22">
        <f t="shared" ca="1" si="112"/>
        <v>41.3</v>
      </c>
      <c r="BN22">
        <f t="shared" ca="1" si="113"/>
        <v>16.7</v>
      </c>
      <c r="BO22">
        <f t="shared" ca="1" si="114"/>
        <v>1</v>
      </c>
      <c r="BP22">
        <f t="shared" ca="1" si="115"/>
        <v>0</v>
      </c>
      <c r="BR22">
        <f t="shared" ca="1" si="47"/>
        <v>14</v>
      </c>
      <c r="BS22">
        <f t="shared" ca="1" si="48"/>
        <v>15</v>
      </c>
      <c r="BT22">
        <f t="shared" ca="1" si="49"/>
        <v>10</v>
      </c>
      <c r="BU22">
        <f t="shared" ca="1" si="50"/>
        <v>15</v>
      </c>
      <c r="BV22">
        <f t="shared" ca="1" si="51"/>
        <v>10</v>
      </c>
      <c r="BW22">
        <f t="shared" ca="1" si="52"/>
        <v>12</v>
      </c>
      <c r="BY22">
        <f t="shared" ca="1" si="53"/>
        <v>-2.5</v>
      </c>
      <c r="BZ22">
        <f t="shared" ca="1" si="53"/>
        <v>0</v>
      </c>
      <c r="CA22">
        <f t="shared" ca="1" si="53"/>
        <v>-9.6</v>
      </c>
      <c r="CB22">
        <f t="shared" ca="1" si="53"/>
        <v>0</v>
      </c>
      <c r="CC22">
        <f t="shared" ca="1" si="53"/>
        <v>0</v>
      </c>
      <c r="CD22">
        <f t="shared" ca="1" si="53"/>
        <v>0</v>
      </c>
      <c r="CF22" s="206">
        <f t="shared" ca="1" si="124"/>
        <v>-1</v>
      </c>
      <c r="CG22" s="206">
        <f t="shared" ca="1" si="124"/>
        <v>0</v>
      </c>
      <c r="CH22" s="206">
        <f t="shared" ca="1" si="124"/>
        <v>-5</v>
      </c>
      <c r="CI22" s="206">
        <f t="shared" ca="1" si="124"/>
        <v>1</v>
      </c>
      <c r="CJ22" s="206">
        <f t="shared" ca="1" si="124"/>
        <v>-1</v>
      </c>
      <c r="CK22" s="206">
        <f t="shared" ca="1" si="124"/>
        <v>-3</v>
      </c>
      <c r="CM22" t="str">
        <f t="shared" ca="1" si="55"/>
        <v>-2.5</v>
      </c>
      <c r="CN22" t="str">
        <f t="shared" ca="1" si="125"/>
        <v>-</v>
      </c>
      <c r="CO22" t="str">
        <f t="shared" ca="1" si="125"/>
        <v>-9.6</v>
      </c>
      <c r="CP22" t="str">
        <f t="shared" ca="1" si="125"/>
        <v>-</v>
      </c>
      <c r="CQ22" t="str">
        <f t="shared" ca="1" si="116"/>
        <v>-</v>
      </c>
      <c r="CR22" t="str">
        <f t="shared" ca="1" si="117"/>
        <v>-</v>
      </c>
      <c r="CT22">
        <f t="shared" ca="1" si="57"/>
        <v>-1</v>
      </c>
      <c r="CU22">
        <f t="shared" ca="1" si="126"/>
        <v>0</v>
      </c>
      <c r="CV22">
        <f t="shared" ca="1" si="126"/>
        <v>-1</v>
      </c>
      <c r="CW22">
        <f t="shared" ca="1" si="126"/>
        <v>0</v>
      </c>
      <c r="CX22">
        <f t="shared" ca="1" si="126"/>
        <v>0</v>
      </c>
      <c r="CY22">
        <f t="shared" ca="1" si="126"/>
        <v>0</v>
      </c>
      <c r="DA22" t="str">
        <f t="shared" ca="1" si="127"/>
        <v>-1</v>
      </c>
      <c r="DB22" t="str">
        <f t="shared" ca="1" si="127"/>
        <v>-</v>
      </c>
      <c r="DC22" t="str">
        <f t="shared" ca="1" si="127"/>
        <v>-5</v>
      </c>
      <c r="DD22" t="str">
        <f t="shared" ca="1" si="127"/>
        <v>+1</v>
      </c>
      <c r="DE22" t="str">
        <f t="shared" ca="1" si="127"/>
        <v>-1</v>
      </c>
      <c r="DF22" t="str">
        <f t="shared" ca="1" si="127"/>
        <v>-3</v>
      </c>
      <c r="DH22">
        <f t="shared" ca="1" si="128"/>
        <v>-1</v>
      </c>
      <c r="DI22">
        <f t="shared" ca="1" si="128"/>
        <v>0</v>
      </c>
      <c r="DJ22">
        <f t="shared" ca="1" si="128"/>
        <v>-1</v>
      </c>
      <c r="DK22">
        <f t="shared" ca="1" si="128"/>
        <v>1</v>
      </c>
      <c r="DL22">
        <f t="shared" ca="1" si="128"/>
        <v>-1</v>
      </c>
      <c r="DM22">
        <f t="shared" ca="1" si="128"/>
        <v>-1</v>
      </c>
      <c r="DO22">
        <f ca="1">RANK(BY22,BY$8:BY$22)+COUNTIF(BY22:BY$22,BY22)-1</f>
        <v>9</v>
      </c>
      <c r="DP22">
        <f ca="1">RANK(BZ22,BZ$8:BZ$22)+COUNTIF(BZ22:BZ$22,BZ22)-1</f>
        <v>4</v>
      </c>
      <c r="DQ22">
        <f ca="1">RANK(CA22,CA$8:CA$22)+COUNTIF(CA22:CA$22,CA22)-1</f>
        <v>15</v>
      </c>
      <c r="DR22">
        <f ca="1">RANK(CB22,CB$8:CB$22)+COUNTIF(CB22:CB$22,CB22)-1</f>
        <v>6</v>
      </c>
      <c r="DS22">
        <f ca="1">RANK(CC22,CC$8:CC$22)+COUNTIF(CC22:CC$22,CC22)-1</f>
        <v>4</v>
      </c>
      <c r="DT22">
        <f ca="1">RANK(CD22,CD$8:CD$22)+COUNTIF(CD22:CD$22,CD22)-1</f>
        <v>1</v>
      </c>
      <c r="DV22">
        <f t="shared" ca="1" si="61"/>
        <v>9</v>
      </c>
      <c r="DW22">
        <f t="shared" ca="1" si="62"/>
        <v>1</v>
      </c>
      <c r="DX22">
        <f t="shared" ca="1" si="63"/>
        <v>15</v>
      </c>
      <c r="DY22">
        <f t="shared" ca="1" si="64"/>
        <v>8</v>
      </c>
      <c r="DZ22">
        <f t="shared" ca="1" si="65"/>
        <v>2</v>
      </c>
      <c r="EA22">
        <f t="shared" ca="1" si="66"/>
        <v>1</v>
      </c>
      <c r="EC22" t="str">
        <f t="shared" ca="1" si="67"/>
        <v>Dominican Rep</v>
      </c>
      <c r="ED22" t="str">
        <f t="shared" ca="1" si="68"/>
        <v>Bolivia</v>
      </c>
      <c r="EE22" t="str">
        <f t="shared" ca="1" si="69"/>
        <v>Ecuador</v>
      </c>
      <c r="EF22" t="str">
        <f t="shared" ca="1" si="70"/>
        <v>Dominican Rep</v>
      </c>
      <c r="EG22" t="str">
        <f t="shared" ca="1" si="71"/>
        <v>Bolivia</v>
      </c>
      <c r="EH22" t="str">
        <f t="shared" ca="1" si="72"/>
        <v>Nicaragua</v>
      </c>
      <c r="EJ22">
        <f t="shared" ca="1" si="73"/>
        <v>48</v>
      </c>
      <c r="EK22">
        <f t="shared" ca="1" si="74"/>
        <v>87.5</v>
      </c>
      <c r="EL22">
        <f t="shared" ca="1" si="75"/>
        <v>31.7</v>
      </c>
      <c r="EM22">
        <f t="shared" ca="1" si="76"/>
        <v>50</v>
      </c>
      <c r="EN22">
        <f t="shared" ca="1" si="77"/>
        <v>3</v>
      </c>
      <c r="EO22">
        <f t="shared" ca="1" si="78"/>
        <v>0.58350000000000002</v>
      </c>
      <c r="EQ22">
        <f t="shared" ca="1" si="79"/>
        <v>57.5</v>
      </c>
      <c r="ER22">
        <f t="shared" ca="1" si="80"/>
        <v>100</v>
      </c>
      <c r="ES22">
        <f t="shared" ca="1" si="81"/>
        <v>41.3</v>
      </c>
      <c r="ET22">
        <f t="shared" ca="1" si="82"/>
        <v>75</v>
      </c>
      <c r="EU22">
        <f t="shared" ca="1" si="83"/>
        <v>4</v>
      </c>
      <c r="EV22">
        <f t="shared" ca="1" si="84"/>
        <v>0.6</v>
      </c>
      <c r="EX22" t="str">
        <f t="shared" ca="1" si="85"/>
        <v>-9.5</v>
      </c>
      <c r="EY22" t="str">
        <f t="shared" ca="1" si="86"/>
        <v>-12.5</v>
      </c>
      <c r="EZ22" t="str">
        <f t="shared" ca="1" si="87"/>
        <v>-9.6</v>
      </c>
      <c r="FA22" t="str">
        <f t="shared" ca="1" si="88"/>
        <v>-25.0</v>
      </c>
      <c r="FB22" t="str">
        <f t="shared" ca="1" si="89"/>
        <v>-1.0</v>
      </c>
      <c r="FE22">
        <f t="shared" ca="1" si="90"/>
        <v>-1</v>
      </c>
      <c r="FF22">
        <f t="shared" ca="1" si="91"/>
        <v>-1</v>
      </c>
      <c r="FG22">
        <f t="shared" ca="1" si="92"/>
        <v>-1</v>
      </c>
      <c r="FH22">
        <f t="shared" ca="1" si="93"/>
        <v>-1</v>
      </c>
      <c r="FI22">
        <f t="shared" ca="1" si="94"/>
        <v>-1</v>
      </c>
      <c r="FJ22">
        <f t="shared" ca="1" si="95"/>
        <v>0</v>
      </c>
      <c r="FL22" t="str">
        <f t="shared" ca="1" si="96"/>
        <v>-4</v>
      </c>
      <c r="FM22" t="str">
        <f t="shared" ca="1" si="97"/>
        <v>-</v>
      </c>
      <c r="FN22" t="str">
        <f t="shared" ca="1" si="98"/>
        <v>-5</v>
      </c>
      <c r="FO22" t="str">
        <f t="shared" ca="1" si="99"/>
        <v>-7</v>
      </c>
      <c r="FP22" t="str">
        <f t="shared" ca="1" si="100"/>
        <v>-1</v>
      </c>
      <c r="FQ22" t="str">
        <f t="shared" ca="1" si="101"/>
        <v>-</v>
      </c>
      <c r="FS22">
        <f t="shared" ca="1" si="102"/>
        <v>-1</v>
      </c>
      <c r="FT22">
        <f t="shared" ca="1" si="103"/>
        <v>0</v>
      </c>
      <c r="FU22">
        <f t="shared" ca="1" si="104"/>
        <v>-1</v>
      </c>
      <c r="FV22">
        <f t="shared" ca="1" si="105"/>
        <v>-1</v>
      </c>
      <c r="FW22">
        <f t="shared" ca="1" si="106"/>
        <v>-1</v>
      </c>
      <c r="FX22">
        <f t="shared" ca="1" si="107"/>
        <v>0</v>
      </c>
      <c r="FZ22">
        <f t="shared" ca="1" si="108"/>
        <v>5</v>
      </c>
    </row>
    <row r="23" spans="1:182">
      <c r="G23" s="3"/>
      <c r="H23" s="3"/>
      <c r="I23" s="3"/>
      <c r="J23" s="3"/>
      <c r="K23" s="3"/>
    </row>
    <row r="24" spans="1:182">
      <c r="G24" s="3"/>
      <c r="H24" s="3"/>
      <c r="I24" s="3"/>
      <c r="J24" s="3"/>
      <c r="K24" s="3"/>
    </row>
    <row r="25" spans="1:182">
      <c r="G25" s="3"/>
      <c r="H25" s="3"/>
      <c r="I25" s="3"/>
      <c r="J25" s="3"/>
      <c r="K25" s="3"/>
    </row>
    <row r="26" spans="1:182" ht="6" customHeight="1"/>
    <row r="27" spans="1:182" ht="6" customHeight="1">
      <c r="G27" s="3"/>
      <c r="H27" s="3"/>
      <c r="I27" s="3"/>
      <c r="J27" s="3"/>
      <c r="K27" s="3"/>
    </row>
    <row r="28" spans="1:182" ht="6" customHeight="1"/>
    <row r="31" spans="1:182">
      <c r="C31" t="s">
        <v>506</v>
      </c>
      <c r="G31" s="3"/>
      <c r="H31" s="3"/>
      <c r="I31" s="3"/>
      <c r="J31" s="3"/>
      <c r="K31" s="3"/>
    </row>
    <row r="32" spans="1:182">
      <c r="A32">
        <v>1</v>
      </c>
      <c r="B32">
        <v>1</v>
      </c>
      <c r="C32" t="str">
        <f ca="1">uxb_globals!B24</f>
        <v>Peru</v>
      </c>
      <c r="D32" t="str">
        <f ca="1">uxb_globals!B30</f>
        <v>PE</v>
      </c>
      <c r="E32" s="4">
        <f ca="1">MATCH(D32,uxb_scores_2007!$J$2:$AD$2,0)</f>
        <v>18</v>
      </c>
      <c r="G32" s="3">
        <f ca="1">IF($B32=0,"",ROUND(OFFSET(uxb_scores_2008!$I$2,G$6,$E32),2))</f>
        <v>76.61</v>
      </c>
      <c r="H32" s="3">
        <f ca="1">IF($B32=0,"",ROUND(OFFSET(uxb_scores_2008!$I$2,H$6,$E32),2))</f>
        <v>87.5</v>
      </c>
      <c r="I32" s="3">
        <f ca="1">IF($B32=0,"",ROUND(OFFSET(uxb_scores_2008!$I$2,I$6,$E32),2))</f>
        <v>58.04</v>
      </c>
      <c r="J32" s="3">
        <f ca="1">IF($B32=0,"",ROUND(OFFSET(uxb_scores_2008!$I$2,J$6,$E32),2))</f>
        <v>75</v>
      </c>
      <c r="K32" s="3">
        <f ca="1">IF($B32=0,"",ROUND(OFFSET(uxb_scores_2008!$I$2,K$6,$E32),2))</f>
        <v>4</v>
      </c>
      <c r="U32">
        <f ca="1">IF($B32=1,RANK(G32,G$32:G$35,$B$1)+COUNTIF(G$32:G32,G32)-1,"")</f>
        <v>1</v>
      </c>
      <c r="V32">
        <f ca="1">IF($B32=1,RANK(H32,H$32:H$35,$B$1)+COUNTIF(H$32:H32,H32)-1,"")</f>
        <v>1</v>
      </c>
      <c r="W32">
        <f ca="1">IF($B32=1,RANK(I32,I$32:I$35,$B$1)+COUNTIF(I$32:I32,I32)-1,"")</f>
        <v>2</v>
      </c>
      <c r="X32">
        <f ca="1">IF($B32=1,RANK(J32,J$32:J$35,$B$1)+COUNTIF(J$32:J32,J32)-1,"")</f>
        <v>2</v>
      </c>
      <c r="Y32">
        <f ca="1">IF($B32=1,RANK(K32,K$32:K$35,$B$1)+COUNTIF(K$32:K32,K32)-1,"")</f>
        <v>1</v>
      </c>
      <c r="AB32">
        <f t="shared" ref="AB32:AF35" ca="1" si="129">IF(ISERROR(MATCH($A32,U$32:U$35,0)),0,MATCH($A32,U$32:U$35,0))</f>
        <v>1</v>
      </c>
      <c r="AC32">
        <f t="shared" ca="1" si="129"/>
        <v>1</v>
      </c>
      <c r="AD32">
        <f t="shared" ca="1" si="129"/>
        <v>2</v>
      </c>
      <c r="AE32">
        <f t="shared" ca="1" si="129"/>
        <v>3</v>
      </c>
      <c r="AF32">
        <f t="shared" ca="1" si="129"/>
        <v>1</v>
      </c>
      <c r="AI32" t="str">
        <f ca="1">IF(AB32=0,"",INDEX($C$32:$C$35,AB32))</f>
        <v>Peru</v>
      </c>
      <c r="AJ32" t="str">
        <f t="shared" ref="AJ32:AM35" ca="1" si="130">IF(AC32=0,"",INDEX($C$32:$C$35,AC32))</f>
        <v>Peru</v>
      </c>
      <c r="AK32" t="str">
        <f t="shared" ca="1" si="130"/>
        <v>Costa Rica</v>
      </c>
      <c r="AL32" t="str">
        <f t="shared" ca="1" si="130"/>
        <v>Ecuador</v>
      </c>
      <c r="AM32" t="str">
        <f t="shared" ca="1" si="130"/>
        <v>Peru</v>
      </c>
      <c r="AP32">
        <f t="shared" ref="AP32:AT35" ca="1" si="131">IF(AI32=0,"",ROUND(INDEX(G$32:G$35,AB32),1))</f>
        <v>76.599999999999994</v>
      </c>
      <c r="AQ32">
        <f t="shared" ca="1" si="131"/>
        <v>87.5</v>
      </c>
      <c r="AR32">
        <f t="shared" ca="1" si="131"/>
        <v>59.7</v>
      </c>
      <c r="AS32">
        <f t="shared" ca="1" si="131"/>
        <v>83.3</v>
      </c>
      <c r="AT32">
        <f t="shared" ca="1" si="131"/>
        <v>4</v>
      </c>
      <c r="BK32" t="e">
        <f t="shared" ref="BK32:BO35" ca="1" si="132">IF(AP32=0,"",ROUND(INDEX(U$32:U$35,AI32),1))</f>
        <v>#VALUE!</v>
      </c>
      <c r="BL32" t="e">
        <f t="shared" ca="1" si="132"/>
        <v>#VALUE!</v>
      </c>
      <c r="BM32" t="e">
        <f t="shared" ca="1" si="132"/>
        <v>#VALUE!</v>
      </c>
      <c r="BN32" t="e">
        <f t="shared" ca="1" si="132"/>
        <v>#VALUE!</v>
      </c>
      <c r="BO32" t="e">
        <f t="shared" ca="1" si="132"/>
        <v>#VALUE!</v>
      </c>
    </row>
    <row r="33" spans="1:67">
      <c r="A33">
        <v>2</v>
      </c>
      <c r="B33">
        <v>1</v>
      </c>
      <c r="C33" t="str">
        <f ca="1">uxb_globals!B25</f>
        <v>Costa Rica</v>
      </c>
      <c r="D33" t="str">
        <f ca="1">uxb_globals!B31</f>
        <v>CR</v>
      </c>
      <c r="E33" s="4">
        <f ca="1">MATCH(D33,uxb_scores_2007!$J$2:$AD$2,0)</f>
        <v>6</v>
      </c>
      <c r="G33" s="3">
        <f ca="1">IF($B33=0,"",ROUND(OFFSET(uxb_scores_2008!$I$2,G$6,$E33),2))</f>
        <v>40.28</v>
      </c>
      <c r="H33" s="3">
        <f ca="1">IF($B33=0,"",ROUND(OFFSET(uxb_scores_2008!$I$2,H$6,$E33),2))</f>
        <v>37.5</v>
      </c>
      <c r="I33" s="3">
        <f ca="1">IF($B33=0,"",ROUND(OFFSET(uxb_scores_2008!$I$2,I$6,$E33),2))</f>
        <v>59.71</v>
      </c>
      <c r="J33" s="3">
        <f ca="1">IF($B33=0,"",ROUND(OFFSET(uxb_scores_2008!$I$2,J$6,$E33),2))</f>
        <v>33.33</v>
      </c>
      <c r="K33" s="3">
        <f ca="1">IF($B33=0,"",ROUND(OFFSET(uxb_scores_2008!$I$2,K$6,$E33),2))</f>
        <v>1</v>
      </c>
      <c r="U33">
        <f ca="1">IF($B33=1,RANK(G33,G$32:G$35,$B$1)+COUNTIF(G$32:G33,G33)-1,"")</f>
        <v>4</v>
      </c>
      <c r="V33">
        <f ca="1">IF($B33=1,RANK(H33,H$32:H$35,$B$1)+COUNTIF(H$32:H33,H33)-1,"")</f>
        <v>4</v>
      </c>
      <c r="W33">
        <f ca="1">IF($B33=1,RANK(I33,I$32:I$35,$B$1)+COUNTIF(I$32:I33,I33)-1,"")</f>
        <v>1</v>
      </c>
      <c r="X33">
        <f ca="1">IF($B33=1,RANK(J33,J$32:J$35,$B$1)+COUNTIF(J$32:J33,J33)-1,"")</f>
        <v>4</v>
      </c>
      <c r="Y33">
        <f ca="1">IF($B33=1,RANK(K33,K$32:K$35,$B$1)+COUNTIF(K$32:K33,K33)-1,"")</f>
        <v>3</v>
      </c>
      <c r="AB33">
        <f t="shared" ca="1" si="129"/>
        <v>3</v>
      </c>
      <c r="AC33">
        <f t="shared" ca="1" si="129"/>
        <v>3</v>
      </c>
      <c r="AD33">
        <f t="shared" ca="1" si="129"/>
        <v>1</v>
      </c>
      <c r="AE33">
        <f t="shared" ca="1" si="129"/>
        <v>1</v>
      </c>
      <c r="AF33">
        <f t="shared" ca="1" si="129"/>
        <v>3</v>
      </c>
      <c r="AI33" t="str">
        <f ca="1">IF(AB33=0,"",INDEX($C$32:$C$35,AB33))</f>
        <v>Ecuador</v>
      </c>
      <c r="AJ33" t="str">
        <f t="shared" ca="1" si="130"/>
        <v>Ecuador</v>
      </c>
      <c r="AK33" t="str">
        <f t="shared" ca="1" si="130"/>
        <v>Peru</v>
      </c>
      <c r="AL33" t="str">
        <f t="shared" ca="1" si="130"/>
        <v>Peru</v>
      </c>
      <c r="AM33" t="str">
        <f t="shared" ca="1" si="130"/>
        <v>Ecuador</v>
      </c>
      <c r="AP33">
        <f t="shared" ca="1" si="131"/>
        <v>69.7</v>
      </c>
      <c r="AQ33">
        <f t="shared" ca="1" si="131"/>
        <v>75</v>
      </c>
      <c r="AR33">
        <f t="shared" ca="1" si="131"/>
        <v>58</v>
      </c>
      <c r="AS33">
        <f t="shared" ca="1" si="131"/>
        <v>75</v>
      </c>
      <c r="AT33">
        <f t="shared" ca="1" si="131"/>
        <v>3</v>
      </c>
      <c r="BK33" t="e">
        <f t="shared" ca="1" si="132"/>
        <v>#VALUE!</v>
      </c>
      <c r="BL33" t="e">
        <f t="shared" ca="1" si="132"/>
        <v>#VALUE!</v>
      </c>
      <c r="BM33" t="e">
        <f t="shared" ca="1" si="132"/>
        <v>#VALUE!</v>
      </c>
      <c r="BN33" t="e">
        <f t="shared" ca="1" si="132"/>
        <v>#VALUE!</v>
      </c>
      <c r="BO33" t="e">
        <f t="shared" ca="1" si="132"/>
        <v>#VALUE!</v>
      </c>
    </row>
    <row r="34" spans="1:67">
      <c r="A34">
        <v>3</v>
      </c>
      <c r="B34">
        <v>1</v>
      </c>
      <c r="C34" t="str">
        <f ca="1">uxb_globals!B26</f>
        <v>Ecuador</v>
      </c>
      <c r="D34" t="str">
        <f ca="1">uxb_globals!B32</f>
        <v>EC</v>
      </c>
      <c r="E34" s="4">
        <f ca="1">MATCH(D34,uxb_scores_2007!$J$2:$AD$2,0)</f>
        <v>8</v>
      </c>
      <c r="G34" s="3">
        <f ca="1">IF($B34=0,"",ROUND(OFFSET(uxb_scores_2008!$I$2,G$6,$E34),2))</f>
        <v>69.67</v>
      </c>
      <c r="H34" s="3">
        <f ca="1">IF($B34=0,"",ROUND(OFFSET(uxb_scores_2008!$I$2,H$6,$E34),2))</f>
        <v>75</v>
      </c>
      <c r="I34" s="3">
        <f ca="1">IF($B34=0,"",ROUND(OFFSET(uxb_scores_2008!$I$2,I$6,$E34),2))</f>
        <v>31.67</v>
      </c>
      <c r="J34" s="3">
        <f ca="1">IF($B34=0,"",ROUND(OFFSET(uxb_scores_2008!$I$2,J$6,$E34),2))</f>
        <v>83.33</v>
      </c>
      <c r="K34" s="3">
        <f ca="1">IF($B34=0,"",ROUND(OFFSET(uxb_scores_2008!$I$2,K$6,$E34),2))</f>
        <v>3</v>
      </c>
      <c r="U34">
        <f ca="1">IF($B34=1,RANK(G34,G$32:G$35,$B$1)+COUNTIF(G$32:G34,G34)-1,"")</f>
        <v>2</v>
      </c>
      <c r="V34">
        <f ca="1">IF($B34=1,RANK(H34,H$32:H$35,$B$1)+COUNTIF(H$32:H34,H34)-1,"")</f>
        <v>2</v>
      </c>
      <c r="W34">
        <f ca="1">IF($B34=1,RANK(I34,I$32:I$35,$B$1)+COUNTIF(I$32:I34,I34)-1,"")</f>
        <v>4</v>
      </c>
      <c r="X34">
        <f ca="1">IF($B34=1,RANK(J34,J$32:J$35,$B$1)+COUNTIF(J$32:J34,J34)-1,"")</f>
        <v>1</v>
      </c>
      <c r="Y34">
        <f ca="1">IF($B34=1,RANK(K34,K$32:K$35,$B$1)+COUNTIF(K$32:K34,K34)-1,"")</f>
        <v>2</v>
      </c>
      <c r="AB34">
        <f t="shared" ca="1" si="129"/>
        <v>4</v>
      </c>
      <c r="AC34">
        <f t="shared" ca="1" si="129"/>
        <v>4</v>
      </c>
      <c r="AD34">
        <f t="shared" ca="1" si="129"/>
        <v>4</v>
      </c>
      <c r="AE34">
        <f t="shared" ca="1" si="129"/>
        <v>4</v>
      </c>
      <c r="AF34">
        <f t="shared" ca="1" si="129"/>
        <v>2</v>
      </c>
      <c r="AI34" t="str">
        <f ca="1">IF(AB34=0,"",INDEX($C$32:$C$35,AB34))</f>
        <v>Guatemala</v>
      </c>
      <c r="AJ34" t="str">
        <f t="shared" ca="1" si="130"/>
        <v>Guatemala</v>
      </c>
      <c r="AK34" t="str">
        <f t="shared" ca="1" si="130"/>
        <v>Guatemala</v>
      </c>
      <c r="AL34" t="str">
        <f t="shared" ca="1" si="130"/>
        <v>Guatemala</v>
      </c>
      <c r="AM34" t="str">
        <f t="shared" ca="1" si="130"/>
        <v>Costa Rica</v>
      </c>
      <c r="AP34">
        <f t="shared" ca="1" si="131"/>
        <v>54</v>
      </c>
      <c r="AQ34">
        <f t="shared" ca="1" si="131"/>
        <v>56.3</v>
      </c>
      <c r="AR34">
        <f t="shared" ca="1" si="131"/>
        <v>40.799999999999997</v>
      </c>
      <c r="AS34">
        <f t="shared" ca="1" si="131"/>
        <v>58.3</v>
      </c>
      <c r="AT34">
        <f t="shared" ca="1" si="131"/>
        <v>1</v>
      </c>
      <c r="BK34" t="e">
        <f t="shared" ca="1" si="132"/>
        <v>#VALUE!</v>
      </c>
      <c r="BL34" t="e">
        <f t="shared" ca="1" si="132"/>
        <v>#VALUE!</v>
      </c>
      <c r="BM34" t="e">
        <f t="shared" ca="1" si="132"/>
        <v>#VALUE!</v>
      </c>
      <c r="BN34" t="e">
        <f t="shared" ca="1" si="132"/>
        <v>#VALUE!</v>
      </c>
      <c r="BO34" t="e">
        <f t="shared" ca="1" si="132"/>
        <v>#VALUE!</v>
      </c>
    </row>
    <row r="35" spans="1:67">
      <c r="A35">
        <v>4</v>
      </c>
      <c r="B35">
        <v>1</v>
      </c>
      <c r="C35" t="str">
        <f ca="1">uxb_globals!B27</f>
        <v>Guatemala</v>
      </c>
      <c r="D35" t="str">
        <f ca="1">uxb_globals!B33</f>
        <v>GT</v>
      </c>
      <c r="E35" s="4">
        <f ca="1">MATCH(D35,uxb_scores_2007!$J$2:$AD$2,0)</f>
        <v>10</v>
      </c>
      <c r="G35" s="3">
        <f ca="1">IF($B35=0,"",ROUND(OFFSET(uxb_scores_2008!$I$2,G$6,$E35),2))</f>
        <v>54</v>
      </c>
      <c r="H35" s="3">
        <f ca="1">IF($B35=0,"",ROUND(OFFSET(uxb_scores_2008!$I$2,H$6,$E35),2))</f>
        <v>56.25</v>
      </c>
      <c r="I35" s="3">
        <f ca="1">IF($B35=0,"",ROUND(OFFSET(uxb_scores_2008!$I$2,I$6,$E35),2))</f>
        <v>40.83</v>
      </c>
      <c r="J35" s="3">
        <f ca="1">IF($B35=0,"",ROUND(OFFSET(uxb_scores_2008!$I$2,J$6,$E35),2))</f>
        <v>58.33</v>
      </c>
      <c r="K35" s="3">
        <f ca="1">IF($B35=0,"",ROUND(OFFSET(uxb_scores_2008!$I$2,K$6,$E35),2))</f>
        <v>1</v>
      </c>
      <c r="U35">
        <f ca="1">IF($B35=1,RANK(G35,G$32:G$35,$B$1)+COUNTIF(G$32:G35,G35)-1,"")</f>
        <v>3</v>
      </c>
      <c r="V35">
        <f ca="1">IF($B35=1,RANK(H35,H$32:H$35,$B$1)+COUNTIF(H$32:H35,H35)-1,"")</f>
        <v>3</v>
      </c>
      <c r="W35">
        <f ca="1">IF($B35=1,RANK(I35,I$32:I$35,$B$1)+COUNTIF(I$32:I35,I35)-1,"")</f>
        <v>3</v>
      </c>
      <c r="X35">
        <f ca="1">IF($B35=1,RANK(J35,J$32:J$35,$B$1)+COUNTIF(J$32:J35,J35)-1,"")</f>
        <v>3</v>
      </c>
      <c r="Y35">
        <f ca="1">IF($B35=1,RANK(K35,K$32:K$35,$B$1)+COUNTIF(K$32:K35,K35)-1,"")</f>
        <v>4</v>
      </c>
      <c r="AB35">
        <f t="shared" ca="1" si="129"/>
        <v>2</v>
      </c>
      <c r="AC35">
        <f t="shared" ca="1" si="129"/>
        <v>2</v>
      </c>
      <c r="AD35">
        <f t="shared" ca="1" si="129"/>
        <v>3</v>
      </c>
      <c r="AE35">
        <f t="shared" ca="1" si="129"/>
        <v>2</v>
      </c>
      <c r="AF35">
        <f t="shared" ca="1" si="129"/>
        <v>4</v>
      </c>
      <c r="AI35" t="str">
        <f ca="1">IF(AB35=0,"",INDEX($C$32:$C$35,AB35))</f>
        <v>Costa Rica</v>
      </c>
      <c r="AJ35" t="str">
        <f t="shared" ca="1" si="130"/>
        <v>Costa Rica</v>
      </c>
      <c r="AK35" t="str">
        <f t="shared" ca="1" si="130"/>
        <v>Ecuador</v>
      </c>
      <c r="AL35" t="str">
        <f t="shared" ca="1" si="130"/>
        <v>Costa Rica</v>
      </c>
      <c r="AM35" t="str">
        <f t="shared" ca="1" si="130"/>
        <v>Guatemala</v>
      </c>
      <c r="AP35">
        <f t="shared" ca="1" si="131"/>
        <v>40.299999999999997</v>
      </c>
      <c r="AQ35">
        <f t="shared" ca="1" si="131"/>
        <v>37.5</v>
      </c>
      <c r="AR35">
        <f t="shared" ca="1" si="131"/>
        <v>31.7</v>
      </c>
      <c r="AS35">
        <f t="shared" ca="1" si="131"/>
        <v>33.299999999999997</v>
      </c>
      <c r="AT35">
        <f t="shared" ca="1" si="131"/>
        <v>1</v>
      </c>
      <c r="BK35" t="e">
        <f t="shared" ca="1" si="132"/>
        <v>#VALUE!</v>
      </c>
      <c r="BL35" t="e">
        <f t="shared" ca="1" si="132"/>
        <v>#VALUE!</v>
      </c>
      <c r="BM35" t="e">
        <f t="shared" ca="1" si="132"/>
        <v>#VALUE!</v>
      </c>
      <c r="BN35" t="e">
        <f t="shared" ca="1" si="132"/>
        <v>#VALUE!</v>
      </c>
      <c r="BO35" t="e">
        <f t="shared" ca="1" si="132"/>
        <v>#VALUE!</v>
      </c>
    </row>
  </sheetData>
  <phoneticPr fontId="0"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sheetPr codeName="Sheet17"/>
  <dimension ref="A1:AD59"/>
  <sheetViews>
    <sheetView topLeftCell="T1" zoomScale="80" zoomScaleNormal="80" workbookViewId="0">
      <pane ySplit="2" topLeftCell="A37" activePane="bottomLeft" state="frozen"/>
      <selection activeCell="B20" sqref="B20"/>
      <selection pane="bottomLeft" activeCell="AB46" sqref="AB46"/>
    </sheetView>
  </sheetViews>
  <sheetFormatPr defaultRowHeight="12.75"/>
  <sheetData>
    <row r="1" spans="1:30">
      <c r="J1" t="s">
        <v>394</v>
      </c>
      <c r="K1" t="s">
        <v>395</v>
      </c>
      <c r="L1" t="s">
        <v>396</v>
      </c>
      <c r="M1" t="s">
        <v>397</v>
      </c>
      <c r="N1" t="s">
        <v>398</v>
      </c>
      <c r="O1" t="s">
        <v>143</v>
      </c>
      <c r="P1" t="s">
        <v>399</v>
      </c>
      <c r="Q1" t="s">
        <v>400</v>
      </c>
      <c r="R1" t="s">
        <v>401</v>
      </c>
      <c r="S1" t="s">
        <v>402</v>
      </c>
      <c r="T1" t="s">
        <v>144</v>
      </c>
      <c r="U1" t="s">
        <v>145</v>
      </c>
      <c r="V1" t="s">
        <v>146</v>
      </c>
      <c r="W1" t="s">
        <v>403</v>
      </c>
      <c r="X1" t="s">
        <v>404</v>
      </c>
      <c r="Y1" t="s">
        <v>147</v>
      </c>
      <c r="Z1" t="s">
        <v>405</v>
      </c>
      <c r="AA1" t="s">
        <v>406</v>
      </c>
      <c r="AB1" t="s">
        <v>407</v>
      </c>
      <c r="AC1" t="s">
        <v>408</v>
      </c>
      <c r="AD1" t="s">
        <v>384</v>
      </c>
    </row>
    <row r="2" spans="1:30">
      <c r="J2" t="s">
        <v>441</v>
      </c>
      <c r="K2" t="s">
        <v>442</v>
      </c>
      <c r="L2" t="s">
        <v>443</v>
      </c>
      <c r="M2" t="s">
        <v>444</v>
      </c>
      <c r="N2" t="s">
        <v>445</v>
      </c>
      <c r="O2" t="s">
        <v>148</v>
      </c>
      <c r="P2" t="s">
        <v>446</v>
      </c>
      <c r="Q2" t="s">
        <v>447</v>
      </c>
      <c r="R2" t="s">
        <v>448</v>
      </c>
      <c r="S2" t="s">
        <v>449</v>
      </c>
      <c r="T2" t="s">
        <v>149</v>
      </c>
      <c r="U2" t="s">
        <v>150</v>
      </c>
      <c r="V2" t="s">
        <v>151</v>
      </c>
      <c r="W2" t="s">
        <v>450</v>
      </c>
      <c r="X2" t="s">
        <v>451</v>
      </c>
      <c r="Y2" t="s">
        <v>152</v>
      </c>
      <c r="Z2" t="s">
        <v>452</v>
      </c>
      <c r="AA2" t="s">
        <v>453</v>
      </c>
      <c r="AB2" t="s">
        <v>454</v>
      </c>
      <c r="AC2" t="s">
        <v>455</v>
      </c>
      <c r="AD2" t="s">
        <v>376</v>
      </c>
    </row>
    <row r="3" spans="1:30">
      <c r="A3" t="s">
        <v>483</v>
      </c>
      <c r="C3" t="s">
        <v>484</v>
      </c>
      <c r="J3" s="3">
        <f>SUMPRODUCT(($B$4:$B$8=$A3)*J$4:J$8*$I$4:$I$8)</f>
        <v>28.5</v>
      </c>
      <c r="K3" s="3">
        <f t="shared" ref="K3:AC3" si="0">SUMPRODUCT(($B$4:$B$8=$A3)*K$4:K$8*$I$4:$I$8)</f>
        <v>74.388888888888886</v>
      </c>
      <c r="L3" s="3">
        <f t="shared" si="0"/>
        <v>41.555555555555557</v>
      </c>
      <c r="M3" s="3">
        <f t="shared" si="0"/>
        <v>43.166666666666671</v>
      </c>
      <c r="N3" s="3">
        <f t="shared" si="0"/>
        <v>58.611111111111114</v>
      </c>
      <c r="O3" s="3">
        <f t="shared" si="0"/>
        <v>40.274999999999991</v>
      </c>
      <c r="P3" s="3">
        <f t="shared" si="0"/>
        <v>48</v>
      </c>
      <c r="Q3" s="3">
        <f t="shared" si="0"/>
        <v>69.666666666666671</v>
      </c>
      <c r="R3" s="3">
        <f t="shared" si="0"/>
        <v>58.999999999999993</v>
      </c>
      <c r="S3" s="3">
        <f t="shared" si="0"/>
        <v>54</v>
      </c>
      <c r="T3" s="3">
        <f t="shared" si="0"/>
        <v>30.166666666666664</v>
      </c>
      <c r="U3" s="3">
        <f t="shared" si="0"/>
        <v>47.108333333333334</v>
      </c>
      <c r="V3" s="3">
        <f t="shared" si="0"/>
        <v>21.166666666666664</v>
      </c>
      <c r="W3" s="3">
        <f t="shared" si="0"/>
        <v>47.5</v>
      </c>
      <c r="X3" s="3">
        <f t="shared" si="0"/>
        <v>58</v>
      </c>
      <c r="Y3" s="3">
        <f t="shared" si="0"/>
        <v>47.5</v>
      </c>
      <c r="Z3" s="3">
        <f t="shared" si="0"/>
        <v>49.608333333333327</v>
      </c>
      <c r="AA3" s="3">
        <f t="shared" si="0"/>
        <v>76.608333333333334</v>
      </c>
      <c r="AB3" s="3">
        <f t="shared" si="0"/>
        <v>28.333333333333329</v>
      </c>
      <c r="AC3" s="3">
        <f t="shared" si="0"/>
        <v>24.941666666666663</v>
      </c>
      <c r="AD3">
        <v>0</v>
      </c>
    </row>
    <row r="4" spans="1:30">
      <c r="A4" t="s">
        <v>425</v>
      </c>
      <c r="B4" t="s">
        <v>483</v>
      </c>
      <c r="C4" t="s">
        <v>409</v>
      </c>
      <c r="G4" s="37">
        <f ca="1">Weights!C7</f>
        <v>4</v>
      </c>
      <c r="H4">
        <f>SUMIF(B$4:B$8,B4,G$4:G$8)</f>
        <v>10</v>
      </c>
      <c r="I4" s="2">
        <f>IF(G4=0,0,G4/H4)</f>
        <v>0.4</v>
      </c>
      <c r="J4" s="3">
        <f>SUMPRODUCT(($B$12:$B$31=$A4)*J$12:J$31*$I$12:$I$31*25)</f>
        <v>18.75</v>
      </c>
      <c r="K4" s="3">
        <f t="shared" ref="K4:AC4" si="1">SUMPRODUCT(($B$12:$B$31=$A4)*K$12:K$31*$I$12:$I$31*25)</f>
        <v>87.5</v>
      </c>
      <c r="L4" s="3">
        <f t="shared" si="1"/>
        <v>43.75</v>
      </c>
      <c r="M4" s="3">
        <f t="shared" si="1"/>
        <v>37.5</v>
      </c>
      <c r="N4" s="3">
        <f t="shared" si="1"/>
        <v>62.5</v>
      </c>
      <c r="O4" s="3">
        <f t="shared" si="1"/>
        <v>37.5</v>
      </c>
      <c r="P4" s="3">
        <f t="shared" si="1"/>
        <v>50</v>
      </c>
      <c r="Q4" s="3">
        <f t="shared" si="1"/>
        <v>75</v>
      </c>
      <c r="R4" s="3">
        <f t="shared" si="1"/>
        <v>56.25</v>
      </c>
      <c r="S4" s="3">
        <f t="shared" si="1"/>
        <v>56.25</v>
      </c>
      <c r="T4" s="3">
        <f t="shared" si="1"/>
        <v>43.75</v>
      </c>
      <c r="U4" s="3">
        <f t="shared" si="1"/>
        <v>50</v>
      </c>
      <c r="V4" s="3">
        <f t="shared" si="1"/>
        <v>25</v>
      </c>
      <c r="W4" s="3">
        <f t="shared" si="1"/>
        <v>56.25</v>
      </c>
      <c r="X4" s="3">
        <f t="shared" si="1"/>
        <v>56.25</v>
      </c>
      <c r="Y4" s="3">
        <f t="shared" si="1"/>
        <v>56.25</v>
      </c>
      <c r="Z4" s="3">
        <f t="shared" si="1"/>
        <v>62.5</v>
      </c>
      <c r="AA4" s="3">
        <f t="shared" si="1"/>
        <v>87.5</v>
      </c>
      <c r="AB4" s="3">
        <f t="shared" si="1"/>
        <v>31.25</v>
      </c>
      <c r="AC4" s="3">
        <f t="shared" si="1"/>
        <v>25</v>
      </c>
      <c r="AD4">
        <v>0</v>
      </c>
    </row>
    <row r="5" spans="1:30">
      <c r="A5" t="s">
        <v>426</v>
      </c>
      <c r="B5" t="s">
        <v>483</v>
      </c>
      <c r="C5" t="s">
        <v>414</v>
      </c>
      <c r="G5" s="37">
        <f ca="1">Weights!C8</f>
        <v>2</v>
      </c>
      <c r="H5">
        <f>SUMIF(B$4:B$8,B5,G$4:G$8)</f>
        <v>10</v>
      </c>
      <c r="I5" s="2">
        <f>IF(G5=0,0,G5/H5)</f>
        <v>0.2</v>
      </c>
      <c r="J5" s="3">
        <f t="shared" ref="J5:AC6" si="2">SUMPRODUCT(($B$12:$B$31=$A5)*J$12:J$31*$I$12:$I$31*25)</f>
        <v>38.333333333333329</v>
      </c>
      <c r="K5" s="3">
        <f t="shared" si="2"/>
        <v>46.944444444444443</v>
      </c>
      <c r="L5" s="3">
        <f t="shared" si="2"/>
        <v>53.6111111111111</v>
      </c>
      <c r="M5" s="3">
        <f t="shared" si="2"/>
        <v>74.166666666666671</v>
      </c>
      <c r="N5" s="3">
        <f t="shared" si="2"/>
        <v>51.388888888888886</v>
      </c>
      <c r="O5" s="3">
        <f t="shared" si="2"/>
        <v>59.708333333333314</v>
      </c>
      <c r="P5" s="3">
        <f t="shared" si="2"/>
        <v>40</v>
      </c>
      <c r="Q5" s="3">
        <f t="shared" si="2"/>
        <v>31.666666666666668</v>
      </c>
      <c r="R5" s="3">
        <f t="shared" si="2"/>
        <v>49.166666666666657</v>
      </c>
      <c r="S5" s="3">
        <f t="shared" si="2"/>
        <v>40.833333333333329</v>
      </c>
      <c r="T5" s="3">
        <f t="shared" si="2"/>
        <v>29.999999999999996</v>
      </c>
      <c r="U5" s="3">
        <f t="shared" si="2"/>
        <v>35.541666666666657</v>
      </c>
      <c r="V5" s="3">
        <f t="shared" si="2"/>
        <v>55.833333333333329</v>
      </c>
      <c r="W5" s="3">
        <f t="shared" si="2"/>
        <v>58.333333333333329</v>
      </c>
      <c r="X5" s="3">
        <f t="shared" si="2"/>
        <v>44.166666666666657</v>
      </c>
      <c r="Y5" s="3">
        <f t="shared" si="2"/>
        <v>58.333333333333329</v>
      </c>
      <c r="Z5" s="3">
        <f t="shared" si="2"/>
        <v>39.708333333333329</v>
      </c>
      <c r="AA5" s="3">
        <f t="shared" si="2"/>
        <v>58.041666666666671</v>
      </c>
      <c r="AB5" s="3">
        <f t="shared" si="2"/>
        <v>45.833333333333321</v>
      </c>
      <c r="AC5" s="3">
        <f t="shared" si="2"/>
        <v>41.375</v>
      </c>
      <c r="AD5">
        <v>0</v>
      </c>
    </row>
    <row r="6" spans="1:30">
      <c r="A6" t="s">
        <v>427</v>
      </c>
      <c r="B6" t="s">
        <v>483</v>
      </c>
      <c r="C6" t="s">
        <v>421</v>
      </c>
      <c r="G6" s="37">
        <f ca="1">Weights!C9</f>
        <v>4</v>
      </c>
      <c r="H6">
        <f>SUMIF(B$4:B$8,B6,G$4:G$8)</f>
        <v>10</v>
      </c>
      <c r="I6" s="2">
        <f>IF(G6=0,0,G6/H6)</f>
        <v>0.4</v>
      </c>
      <c r="J6" s="3">
        <f t="shared" si="2"/>
        <v>33.333333333333329</v>
      </c>
      <c r="K6" s="3">
        <f t="shared" si="2"/>
        <v>75</v>
      </c>
      <c r="L6" s="3">
        <f t="shared" si="2"/>
        <v>33.333333333333329</v>
      </c>
      <c r="M6" s="3">
        <f t="shared" si="2"/>
        <v>33.333333333333329</v>
      </c>
      <c r="N6" s="3">
        <f t="shared" si="2"/>
        <v>58.333333333333329</v>
      </c>
      <c r="O6" s="3">
        <f t="shared" si="2"/>
        <v>33.333333333333329</v>
      </c>
      <c r="P6" s="3">
        <f t="shared" si="2"/>
        <v>50</v>
      </c>
      <c r="Q6" s="3">
        <f t="shared" si="2"/>
        <v>83.333333333333329</v>
      </c>
      <c r="R6" s="3">
        <f t="shared" si="2"/>
        <v>66.666666666666657</v>
      </c>
      <c r="S6" s="3">
        <f t="shared" si="2"/>
        <v>58.333333333333329</v>
      </c>
      <c r="T6" s="3">
        <f t="shared" si="2"/>
        <v>16.666666666666664</v>
      </c>
      <c r="U6" s="3">
        <f t="shared" si="2"/>
        <v>49.999999999999993</v>
      </c>
      <c r="V6" s="3">
        <f t="shared" si="2"/>
        <v>0</v>
      </c>
      <c r="W6" s="3">
        <f t="shared" si="2"/>
        <v>33.333333333333329</v>
      </c>
      <c r="X6" s="3">
        <f t="shared" si="2"/>
        <v>66.666666666666657</v>
      </c>
      <c r="Y6" s="3">
        <f t="shared" si="2"/>
        <v>33.333333333333329</v>
      </c>
      <c r="Z6" s="3">
        <f t="shared" si="2"/>
        <v>41.666666666666657</v>
      </c>
      <c r="AA6" s="3">
        <f t="shared" si="2"/>
        <v>75</v>
      </c>
      <c r="AB6" s="3">
        <f t="shared" si="2"/>
        <v>16.666666666666664</v>
      </c>
      <c r="AC6" s="3">
        <f t="shared" si="2"/>
        <v>16.666666666666664</v>
      </c>
      <c r="AD6">
        <v>0</v>
      </c>
    </row>
    <row r="10" spans="1:30">
      <c r="A10" t="s">
        <v>483</v>
      </c>
      <c r="C10" t="s">
        <v>484</v>
      </c>
      <c r="D10" t="s">
        <v>505</v>
      </c>
      <c r="E10" s="82" t="s">
        <v>389</v>
      </c>
      <c r="F10" s="82" t="s">
        <v>390</v>
      </c>
    </row>
    <row r="11" spans="1:30">
      <c r="A11" s="82" t="s">
        <v>425</v>
      </c>
      <c r="B11" s="82"/>
      <c r="C11" s="83" t="s">
        <v>409</v>
      </c>
      <c r="D11" s="82" t="str">
        <f>C11</f>
        <v xml:space="preserve">Regulatory Framework </v>
      </c>
      <c r="E11" s="82" t="s">
        <v>386</v>
      </c>
      <c r="F11" s="82" t="s">
        <v>390</v>
      </c>
      <c r="G11" s="1"/>
      <c r="H11" s="1"/>
      <c r="I11" s="1"/>
    </row>
    <row r="12" spans="1:30">
      <c r="A12" t="s">
        <v>428</v>
      </c>
      <c r="B12" t="s">
        <v>425</v>
      </c>
      <c r="C12" t="s">
        <v>410</v>
      </c>
      <c r="D12" t="str">
        <f ca="1">CONCATENATE(uxb_globals!$B$15,uxb_scores_2008!C12)</f>
        <v xml:space="preserve">   Regulation of microcredit operations</v>
      </c>
      <c r="E12" t="s">
        <v>485</v>
      </c>
      <c r="F12" t="s">
        <v>497</v>
      </c>
      <c r="G12" s="37">
        <f ca="1">Weights!C14</f>
        <v>1</v>
      </c>
      <c r="H12">
        <f>SUMIF(B$12:B$31,B12,G$12:G$31)</f>
        <v>4</v>
      </c>
      <c r="I12" s="2">
        <f>IF(G12=0,0,G12/H12)</f>
        <v>0.25</v>
      </c>
      <c r="J12" s="3">
        <v>1</v>
      </c>
      <c r="K12" s="3">
        <v>3</v>
      </c>
      <c r="L12" s="3">
        <v>2</v>
      </c>
      <c r="M12" s="3">
        <v>2</v>
      </c>
      <c r="N12" s="3">
        <v>2</v>
      </c>
      <c r="O12" s="183">
        <v>2</v>
      </c>
      <c r="P12" s="3">
        <v>3</v>
      </c>
      <c r="Q12" s="3">
        <v>3</v>
      </c>
      <c r="R12" s="3">
        <v>2</v>
      </c>
      <c r="S12" s="3">
        <v>3</v>
      </c>
      <c r="T12" s="183">
        <v>2</v>
      </c>
      <c r="U12" s="183">
        <v>2</v>
      </c>
      <c r="V12" s="183">
        <v>1</v>
      </c>
      <c r="W12" s="3">
        <v>2</v>
      </c>
      <c r="X12" s="3">
        <v>2</v>
      </c>
      <c r="Y12" s="183">
        <v>3</v>
      </c>
      <c r="Z12" s="3">
        <v>3</v>
      </c>
      <c r="AA12" s="3">
        <v>4</v>
      </c>
      <c r="AB12" s="3">
        <v>2</v>
      </c>
      <c r="AC12" s="3">
        <v>1</v>
      </c>
    </row>
    <row r="13" spans="1:30">
      <c r="A13" t="s">
        <v>429</v>
      </c>
      <c r="B13" t="s">
        <v>425</v>
      </c>
      <c r="C13" t="s">
        <v>411</v>
      </c>
      <c r="D13" t="str">
        <f ca="1">CONCATENATE(uxb_globals!$B$15,uxb_scores_2008!C13)</f>
        <v xml:space="preserve">   Formation and operation of regulated/supervised specialised MFIs</v>
      </c>
      <c r="E13" t="s">
        <v>486</v>
      </c>
      <c r="F13" t="s">
        <v>498</v>
      </c>
      <c r="G13" s="37">
        <f ca="1">Weights!C15</f>
        <v>1</v>
      </c>
      <c r="H13">
        <f t="shared" ref="H13:H26" si="3">SUMIF(B$12:B$31,B13,G$12:G$31)</f>
        <v>4</v>
      </c>
      <c r="I13" s="2">
        <f t="shared" ref="I13:I26" si="4">IF(G13=0,0,G13/H13)</f>
        <v>0.25</v>
      </c>
      <c r="J13" s="3">
        <v>1</v>
      </c>
      <c r="K13" s="3">
        <v>3</v>
      </c>
      <c r="L13" s="3">
        <v>2</v>
      </c>
      <c r="M13" s="3">
        <v>1</v>
      </c>
      <c r="N13" s="3">
        <v>2</v>
      </c>
      <c r="O13" s="183">
        <v>1</v>
      </c>
      <c r="P13" s="3">
        <v>2</v>
      </c>
      <c r="Q13" s="3">
        <v>3</v>
      </c>
      <c r="R13" s="3">
        <v>2</v>
      </c>
      <c r="S13" s="3">
        <v>1</v>
      </c>
      <c r="T13" s="183">
        <v>1</v>
      </c>
      <c r="U13" s="183">
        <v>2</v>
      </c>
      <c r="V13" s="183">
        <v>1</v>
      </c>
      <c r="W13" s="3">
        <v>3</v>
      </c>
      <c r="X13" s="3">
        <v>2</v>
      </c>
      <c r="Y13" s="183">
        <v>2</v>
      </c>
      <c r="Z13" s="3">
        <v>2</v>
      </c>
      <c r="AA13" s="3">
        <v>4</v>
      </c>
      <c r="AB13" s="3">
        <v>1</v>
      </c>
      <c r="AC13" s="3">
        <v>1</v>
      </c>
    </row>
    <row r="14" spans="1:30">
      <c r="A14" t="s">
        <v>430</v>
      </c>
      <c r="B14" t="s">
        <v>425</v>
      </c>
      <c r="C14" t="s">
        <v>412</v>
      </c>
      <c r="D14" t="str">
        <f ca="1">CONCATENATE(uxb_globals!$B$15,uxb_scores_2008!C14)</f>
        <v xml:space="preserve">   Formation and operation of non-regulated MFIs</v>
      </c>
      <c r="E14" t="s">
        <v>487</v>
      </c>
      <c r="F14" t="s">
        <v>499</v>
      </c>
      <c r="G14" s="37">
        <f ca="1">Weights!C16</f>
        <v>1</v>
      </c>
      <c r="H14">
        <f t="shared" si="3"/>
        <v>4</v>
      </c>
      <c r="I14" s="2">
        <f t="shared" si="4"/>
        <v>0.25</v>
      </c>
      <c r="J14" s="3">
        <v>1</v>
      </c>
      <c r="K14" s="3">
        <v>4</v>
      </c>
      <c r="L14" s="3">
        <v>2</v>
      </c>
      <c r="M14" s="3">
        <v>2</v>
      </c>
      <c r="N14" s="3">
        <v>3</v>
      </c>
      <c r="O14" s="183">
        <v>2</v>
      </c>
      <c r="P14" s="3">
        <v>3</v>
      </c>
      <c r="Q14" s="3">
        <v>3</v>
      </c>
      <c r="R14" s="3">
        <v>3</v>
      </c>
      <c r="S14" s="3">
        <v>4</v>
      </c>
      <c r="T14" s="183">
        <v>3</v>
      </c>
      <c r="U14" s="183">
        <v>2</v>
      </c>
      <c r="V14" s="183">
        <v>1</v>
      </c>
      <c r="W14" s="3">
        <v>2</v>
      </c>
      <c r="X14" s="3">
        <v>3</v>
      </c>
      <c r="Y14" s="183">
        <v>2</v>
      </c>
      <c r="Z14" s="3">
        <v>3</v>
      </c>
      <c r="AA14" s="3">
        <v>2</v>
      </c>
      <c r="AB14" s="3">
        <v>1</v>
      </c>
      <c r="AC14" s="3">
        <v>1</v>
      </c>
    </row>
    <row r="15" spans="1:30">
      <c r="A15" t="s">
        <v>431</v>
      </c>
      <c r="B15" t="s">
        <v>425</v>
      </c>
      <c r="C15" t="s">
        <v>413</v>
      </c>
      <c r="D15" t="str">
        <f ca="1">CONCATENATE(uxb_globals!$B$15,uxb_scores_2008!C15)</f>
        <v xml:space="preserve">   Regulatory and examination capacity</v>
      </c>
      <c r="E15" t="s">
        <v>488</v>
      </c>
      <c r="F15" t="s">
        <v>500</v>
      </c>
      <c r="G15" s="37">
        <f ca="1">Weights!C17</f>
        <v>1</v>
      </c>
      <c r="H15">
        <f t="shared" si="3"/>
        <v>4</v>
      </c>
      <c r="I15" s="2">
        <f t="shared" si="4"/>
        <v>0.25</v>
      </c>
      <c r="J15" s="3">
        <v>0</v>
      </c>
      <c r="K15" s="3">
        <v>4</v>
      </c>
      <c r="L15" s="3">
        <v>1</v>
      </c>
      <c r="M15" s="3">
        <v>1</v>
      </c>
      <c r="N15" s="3">
        <v>3</v>
      </c>
      <c r="O15" s="183">
        <v>1</v>
      </c>
      <c r="P15" s="3">
        <v>0</v>
      </c>
      <c r="Q15" s="3">
        <v>3</v>
      </c>
      <c r="R15" s="3">
        <v>2</v>
      </c>
      <c r="S15" s="3">
        <v>1</v>
      </c>
      <c r="T15" s="183">
        <v>1</v>
      </c>
      <c r="U15" s="183">
        <v>2</v>
      </c>
      <c r="V15" s="183">
        <v>1</v>
      </c>
      <c r="W15" s="3">
        <v>2</v>
      </c>
      <c r="X15" s="3">
        <v>2</v>
      </c>
      <c r="Y15" s="183">
        <v>2</v>
      </c>
      <c r="Z15" s="3">
        <v>2</v>
      </c>
      <c r="AA15" s="3">
        <v>4</v>
      </c>
      <c r="AB15" s="3">
        <v>1</v>
      </c>
      <c r="AC15" s="3">
        <v>1</v>
      </c>
    </row>
    <row r="16" spans="1:30">
      <c r="A16" s="82" t="s">
        <v>426</v>
      </c>
      <c r="B16" s="82"/>
      <c r="C16" s="83" t="s">
        <v>414</v>
      </c>
      <c r="D16" s="82" t="str">
        <f ca="1">C16</f>
        <v>Investment Climate</v>
      </c>
      <c r="E16" s="82" t="s">
        <v>387</v>
      </c>
      <c r="F16" s="82" t="s">
        <v>390</v>
      </c>
      <c r="G16" s="37"/>
      <c r="I16" s="2"/>
      <c r="J16" s="3"/>
      <c r="K16" s="3"/>
      <c r="L16" s="3"/>
      <c r="M16" s="3"/>
      <c r="N16" s="3"/>
      <c r="O16" s="3"/>
      <c r="P16" s="3"/>
      <c r="Q16" s="3"/>
      <c r="R16" s="3"/>
      <c r="S16" s="3"/>
      <c r="T16" s="3"/>
      <c r="U16" s="3"/>
      <c r="V16" s="3"/>
      <c r="W16" s="3"/>
      <c r="X16" s="3"/>
      <c r="Y16" s="3"/>
      <c r="Z16" s="3"/>
      <c r="AA16" s="3"/>
      <c r="AB16" s="3"/>
      <c r="AC16" s="3"/>
    </row>
    <row r="17" spans="1:29">
      <c r="A17" t="s">
        <v>432</v>
      </c>
      <c r="B17" t="s">
        <v>426</v>
      </c>
      <c r="C17" t="s">
        <v>415</v>
      </c>
      <c r="D17" t="str">
        <f ca="1">CONCATENATE(uxb_globals!$B$15,uxb_scores_2008!C17)</f>
        <v xml:space="preserve">   Political stability</v>
      </c>
      <c r="E17" t="s">
        <v>378</v>
      </c>
      <c r="F17" t="s">
        <v>379</v>
      </c>
      <c r="G17" s="37">
        <f ca="1">Weights!C19</f>
        <v>1</v>
      </c>
      <c r="H17">
        <f t="shared" si="3"/>
        <v>6</v>
      </c>
      <c r="I17" s="2">
        <f t="shared" si="4"/>
        <v>0.16666666666666666</v>
      </c>
      <c r="J17" s="3">
        <v>2.2000000000000002</v>
      </c>
      <c r="K17" s="3">
        <v>1.4</v>
      </c>
      <c r="L17" s="3">
        <v>3</v>
      </c>
      <c r="M17" s="3">
        <v>3.2</v>
      </c>
      <c r="N17" s="3">
        <v>2.2000000000000002</v>
      </c>
      <c r="O17" s="183">
        <v>3.6</v>
      </c>
      <c r="P17" s="3">
        <v>2</v>
      </c>
      <c r="Q17" s="3">
        <v>0.8</v>
      </c>
      <c r="R17" s="3">
        <v>2.8</v>
      </c>
      <c r="S17" s="3">
        <v>1.6</v>
      </c>
      <c r="T17" s="183">
        <v>1.4</v>
      </c>
      <c r="U17" s="183">
        <v>1.8</v>
      </c>
      <c r="V17" s="183">
        <v>2.6</v>
      </c>
      <c r="W17" s="3">
        <v>2.6</v>
      </c>
      <c r="X17" s="3">
        <v>2</v>
      </c>
      <c r="Y17" s="183">
        <v>2.2000000000000002</v>
      </c>
      <c r="Z17" s="3">
        <v>1.8</v>
      </c>
      <c r="AA17" s="3">
        <v>2.2000000000000002</v>
      </c>
      <c r="AB17" s="3">
        <v>2.8</v>
      </c>
      <c r="AC17" s="3">
        <v>1.4</v>
      </c>
    </row>
    <row r="18" spans="1:29">
      <c r="A18" t="s">
        <v>433</v>
      </c>
      <c r="B18" t="s">
        <v>426</v>
      </c>
      <c r="C18" t="s">
        <v>416</v>
      </c>
      <c r="D18" t="str">
        <f ca="1">CONCATENATE(uxb_globals!$B$15,uxb_scores_2008!C18)</f>
        <v xml:space="preserve">   Capital market development</v>
      </c>
      <c r="E18" t="s">
        <v>381</v>
      </c>
      <c r="F18" t="s">
        <v>380</v>
      </c>
      <c r="G18" s="37">
        <f ca="1">Weights!C20</f>
        <v>1</v>
      </c>
      <c r="H18">
        <f t="shared" si="3"/>
        <v>6</v>
      </c>
      <c r="I18" s="2">
        <f t="shared" si="4"/>
        <v>0.16666666666666666</v>
      </c>
      <c r="J18" s="3">
        <v>2</v>
      </c>
      <c r="K18" s="3">
        <v>1.2</v>
      </c>
      <c r="L18" s="3">
        <v>2.2000000000000002</v>
      </c>
      <c r="M18" s="3">
        <v>3.6</v>
      </c>
      <c r="N18" s="3">
        <v>1.8</v>
      </c>
      <c r="O18" s="183">
        <v>2.4</v>
      </c>
      <c r="P18" s="3">
        <v>0.6</v>
      </c>
      <c r="Q18" s="3">
        <v>0.8</v>
      </c>
      <c r="R18" s="3">
        <v>2</v>
      </c>
      <c r="S18" s="3">
        <v>1.2</v>
      </c>
      <c r="T18" s="183">
        <v>0.8</v>
      </c>
      <c r="U18" s="183">
        <v>1.4</v>
      </c>
      <c r="V18" s="183">
        <v>1.8</v>
      </c>
      <c r="W18" s="3">
        <v>2.4</v>
      </c>
      <c r="X18" s="3">
        <v>1.6</v>
      </c>
      <c r="Y18" s="183">
        <v>2.8</v>
      </c>
      <c r="Z18" s="3">
        <v>1.4</v>
      </c>
      <c r="AA18" s="3">
        <v>2.4</v>
      </c>
      <c r="AB18" s="3">
        <v>1.2</v>
      </c>
      <c r="AC18" s="3">
        <v>1.2</v>
      </c>
    </row>
    <row r="19" spans="1:29">
      <c r="A19" t="s">
        <v>434</v>
      </c>
      <c r="B19" t="s">
        <v>426</v>
      </c>
      <c r="C19" t="s">
        <v>417</v>
      </c>
      <c r="D19" t="str">
        <f ca="1">CONCATENATE(uxb_globals!$B$15,uxb_scores_2008!C19)</f>
        <v xml:space="preserve">   Judicial system</v>
      </c>
      <c r="E19" t="s">
        <v>383</v>
      </c>
      <c r="F19" t="s">
        <v>382</v>
      </c>
      <c r="G19" s="37">
        <f ca="1">Weights!C21</f>
        <v>1</v>
      </c>
      <c r="H19">
        <f t="shared" si="3"/>
        <v>6</v>
      </c>
      <c r="I19" s="2">
        <f t="shared" si="4"/>
        <v>0.16666666666666666</v>
      </c>
      <c r="J19" s="3">
        <v>1</v>
      </c>
      <c r="K19" s="3">
        <v>0.66666666666666652</v>
      </c>
      <c r="L19" s="3">
        <v>1.6666666666666665</v>
      </c>
      <c r="M19" s="3">
        <v>3</v>
      </c>
      <c r="N19" s="3">
        <v>1.3333333333333335</v>
      </c>
      <c r="O19" s="183">
        <v>2.33</v>
      </c>
      <c r="P19" s="3">
        <v>1</v>
      </c>
      <c r="Q19" s="3">
        <v>0</v>
      </c>
      <c r="R19" s="3">
        <v>1</v>
      </c>
      <c r="S19" s="3">
        <v>1</v>
      </c>
      <c r="T19" s="183">
        <v>1</v>
      </c>
      <c r="U19" s="183">
        <v>0.33</v>
      </c>
      <c r="V19" s="183">
        <v>2</v>
      </c>
      <c r="W19" s="3">
        <v>2</v>
      </c>
      <c r="X19" s="3">
        <v>0</v>
      </c>
      <c r="Y19" s="183">
        <v>2</v>
      </c>
      <c r="Z19" s="3">
        <v>1.33</v>
      </c>
      <c r="AA19" s="3">
        <v>0.33</v>
      </c>
      <c r="AB19" s="3">
        <v>2</v>
      </c>
      <c r="AC19" s="3">
        <v>0.33</v>
      </c>
    </row>
    <row r="20" spans="1:29">
      <c r="A20" t="s">
        <v>435</v>
      </c>
      <c r="B20" t="s">
        <v>426</v>
      </c>
      <c r="C20" t="s">
        <v>418</v>
      </c>
      <c r="D20" t="str">
        <f ca="1">CONCATENATE(uxb_globals!$B$15,uxb_scores_2008!C20)</f>
        <v xml:space="preserve">   Accounting standards</v>
      </c>
      <c r="E20" t="s">
        <v>489</v>
      </c>
      <c r="F20" t="s">
        <v>501</v>
      </c>
      <c r="G20" s="37">
        <f ca="1">Weights!C22</f>
        <v>1</v>
      </c>
      <c r="H20">
        <f t="shared" si="3"/>
        <v>6</v>
      </c>
      <c r="I20" s="2">
        <f t="shared" si="4"/>
        <v>0.16666666666666666</v>
      </c>
      <c r="J20" s="3">
        <v>2</v>
      </c>
      <c r="K20" s="3">
        <v>2</v>
      </c>
      <c r="L20" s="3">
        <v>2</v>
      </c>
      <c r="M20" s="3">
        <v>3</v>
      </c>
      <c r="N20" s="3">
        <v>2</v>
      </c>
      <c r="O20" s="183">
        <v>2</v>
      </c>
      <c r="P20" s="3">
        <v>3</v>
      </c>
      <c r="Q20" s="3">
        <v>3</v>
      </c>
      <c r="R20" s="3">
        <v>3</v>
      </c>
      <c r="S20" s="3">
        <v>3</v>
      </c>
      <c r="T20" s="183">
        <v>1</v>
      </c>
      <c r="U20" s="183">
        <v>2</v>
      </c>
      <c r="V20" s="183">
        <v>3</v>
      </c>
      <c r="W20" s="3">
        <v>3</v>
      </c>
      <c r="X20" s="3">
        <v>3</v>
      </c>
      <c r="Y20" s="183">
        <v>3</v>
      </c>
      <c r="Z20" s="3">
        <v>1</v>
      </c>
      <c r="AA20" s="3">
        <v>3</v>
      </c>
      <c r="AB20" s="3">
        <v>2</v>
      </c>
      <c r="AC20" s="3">
        <v>3</v>
      </c>
    </row>
    <row r="21" spans="1:29">
      <c r="A21" t="s">
        <v>436</v>
      </c>
      <c r="B21" t="s">
        <v>426</v>
      </c>
      <c r="C21" t="s">
        <v>419</v>
      </c>
      <c r="D21" t="str">
        <f ca="1">CONCATENATE(uxb_globals!$B$15,uxb_scores_2008!C21)</f>
        <v xml:space="preserve">   Governance standards</v>
      </c>
      <c r="E21" t="s">
        <v>490</v>
      </c>
      <c r="F21" t="s">
        <v>519</v>
      </c>
      <c r="G21" s="37">
        <f ca="1">Weights!C23</f>
        <v>1</v>
      </c>
      <c r="H21">
        <f t="shared" si="3"/>
        <v>6</v>
      </c>
      <c r="I21" s="2">
        <f t="shared" si="4"/>
        <v>0.16666666666666666</v>
      </c>
      <c r="J21" s="3">
        <v>1</v>
      </c>
      <c r="K21" s="3">
        <v>3</v>
      </c>
      <c r="L21" s="3">
        <v>2</v>
      </c>
      <c r="M21" s="3">
        <v>3</v>
      </c>
      <c r="N21" s="3">
        <v>3</v>
      </c>
      <c r="O21" s="183">
        <v>2</v>
      </c>
      <c r="P21" s="3">
        <v>1</v>
      </c>
      <c r="Q21" s="3">
        <v>1</v>
      </c>
      <c r="R21" s="3">
        <v>1</v>
      </c>
      <c r="S21" s="3">
        <v>1</v>
      </c>
      <c r="T21" s="183">
        <v>1</v>
      </c>
      <c r="U21" s="183">
        <v>1</v>
      </c>
      <c r="V21" s="183">
        <v>2</v>
      </c>
      <c r="W21" s="3">
        <v>2</v>
      </c>
      <c r="X21" s="3">
        <v>2</v>
      </c>
      <c r="Y21" s="183">
        <v>2</v>
      </c>
      <c r="Z21" s="3">
        <v>2</v>
      </c>
      <c r="AA21" s="3">
        <v>3</v>
      </c>
      <c r="AB21" s="3">
        <v>2</v>
      </c>
      <c r="AC21" s="3">
        <v>1</v>
      </c>
    </row>
    <row r="22" spans="1:29">
      <c r="A22" t="s">
        <v>437</v>
      </c>
      <c r="B22" t="s">
        <v>426</v>
      </c>
      <c r="C22" t="s">
        <v>420</v>
      </c>
      <c r="D22" t="str">
        <f ca="1">CONCATENATE(uxb_globals!$B$15,uxb_scores_2008!C22)</f>
        <v xml:space="preserve">   MFI transparency</v>
      </c>
      <c r="E22" t="s">
        <v>491</v>
      </c>
      <c r="F22" t="s">
        <v>502</v>
      </c>
      <c r="G22" s="37">
        <f ca="1">Weights!C24</f>
        <v>1</v>
      </c>
      <c r="H22">
        <f t="shared" si="3"/>
        <v>6</v>
      </c>
      <c r="I22" s="2">
        <f t="shared" si="4"/>
        <v>0.16666666666666666</v>
      </c>
      <c r="J22" s="3">
        <v>1</v>
      </c>
      <c r="K22" s="3">
        <v>3</v>
      </c>
      <c r="L22" s="3">
        <v>2</v>
      </c>
      <c r="M22" s="3">
        <v>2</v>
      </c>
      <c r="N22" s="3">
        <v>2</v>
      </c>
      <c r="O22" s="183">
        <v>2</v>
      </c>
      <c r="P22" s="3">
        <v>2</v>
      </c>
      <c r="Q22" s="3">
        <v>2</v>
      </c>
      <c r="R22" s="3">
        <v>2</v>
      </c>
      <c r="S22" s="3">
        <v>2</v>
      </c>
      <c r="T22" s="183">
        <v>2</v>
      </c>
      <c r="U22" s="183">
        <v>2</v>
      </c>
      <c r="V22" s="183">
        <v>2</v>
      </c>
      <c r="W22" s="3">
        <v>2</v>
      </c>
      <c r="X22" s="3">
        <v>2</v>
      </c>
      <c r="Y22" s="183">
        <v>2</v>
      </c>
      <c r="Z22" s="3">
        <v>2</v>
      </c>
      <c r="AA22" s="3">
        <v>3</v>
      </c>
      <c r="AB22" s="3">
        <v>1</v>
      </c>
      <c r="AC22" s="3">
        <v>3</v>
      </c>
    </row>
    <row r="23" spans="1:29">
      <c r="A23" s="82" t="s">
        <v>427</v>
      </c>
      <c r="B23" s="82"/>
      <c r="C23" s="83" t="s">
        <v>421</v>
      </c>
      <c r="D23" s="82" t="str">
        <f ca="1">C23</f>
        <v>Institutional Development</v>
      </c>
      <c r="E23" s="82" t="s">
        <v>388</v>
      </c>
      <c r="F23" s="82" t="s">
        <v>390</v>
      </c>
      <c r="G23" s="37"/>
      <c r="I23" s="2"/>
      <c r="J23" s="3"/>
      <c r="K23" s="3"/>
      <c r="L23" s="3"/>
      <c r="M23" s="3"/>
      <c r="N23" s="3"/>
      <c r="O23" s="3"/>
      <c r="P23" s="3"/>
      <c r="Q23" s="3"/>
      <c r="R23" s="3"/>
      <c r="S23" s="3"/>
      <c r="T23" s="3"/>
      <c r="U23" s="3"/>
      <c r="V23" s="3"/>
      <c r="W23" s="3"/>
      <c r="X23" s="3"/>
      <c r="Y23" s="3"/>
      <c r="Z23" s="3"/>
      <c r="AA23" s="3"/>
      <c r="AB23" s="3"/>
      <c r="AC23" s="3"/>
    </row>
    <row r="24" spans="1:29">
      <c r="A24" t="s">
        <v>438</v>
      </c>
      <c r="B24" t="s">
        <v>427</v>
      </c>
      <c r="C24" t="s">
        <v>422</v>
      </c>
      <c r="D24" t="str">
        <f ca="1">CONCATENATE(uxb_globals!$B$15,uxb_scores_2008!C24)</f>
        <v xml:space="preserve">   Range of MFI Services</v>
      </c>
      <c r="E24" t="s">
        <v>492</v>
      </c>
      <c r="F24" t="s">
        <v>503</v>
      </c>
      <c r="G24" s="37">
        <f ca="1">Weights!C26</f>
        <v>1</v>
      </c>
      <c r="H24">
        <f t="shared" si="3"/>
        <v>3</v>
      </c>
      <c r="I24" s="2">
        <f t="shared" si="4"/>
        <v>0.33333333333333331</v>
      </c>
      <c r="J24" s="3">
        <v>1</v>
      </c>
      <c r="K24" s="3">
        <v>4</v>
      </c>
      <c r="L24" s="3">
        <v>2</v>
      </c>
      <c r="M24" s="3">
        <v>2</v>
      </c>
      <c r="N24" s="3">
        <v>2</v>
      </c>
      <c r="O24" s="183">
        <v>2</v>
      </c>
      <c r="P24" s="3">
        <v>2</v>
      </c>
      <c r="Q24" s="3">
        <v>3</v>
      </c>
      <c r="R24" s="3">
        <v>2</v>
      </c>
      <c r="S24" s="3">
        <v>2</v>
      </c>
      <c r="T24" s="183">
        <v>1</v>
      </c>
      <c r="U24" s="183">
        <v>2</v>
      </c>
      <c r="V24" s="183">
        <v>0</v>
      </c>
      <c r="W24" s="3">
        <v>2</v>
      </c>
      <c r="X24" s="3">
        <v>3</v>
      </c>
      <c r="Y24" s="183">
        <v>2</v>
      </c>
      <c r="Z24" s="3">
        <v>2</v>
      </c>
      <c r="AA24" s="3">
        <v>3</v>
      </c>
      <c r="AB24" s="3">
        <v>1</v>
      </c>
      <c r="AC24" s="3">
        <v>2</v>
      </c>
    </row>
    <row r="25" spans="1:29">
      <c r="A25" t="s">
        <v>439</v>
      </c>
      <c r="B25" t="s">
        <v>427</v>
      </c>
      <c r="C25" t="s">
        <v>423</v>
      </c>
      <c r="D25" t="str">
        <f ca="1">CONCATENATE(uxb_globals!$B$15,uxb_scores_2008!C25)</f>
        <v xml:space="preserve">   Credit bureaus</v>
      </c>
      <c r="E25" t="s">
        <v>493</v>
      </c>
      <c r="F25" t="s">
        <v>504</v>
      </c>
      <c r="G25" s="37">
        <f ca="1">Weights!C27</f>
        <v>1</v>
      </c>
      <c r="H25">
        <f t="shared" si="3"/>
        <v>3</v>
      </c>
      <c r="I25" s="2">
        <f t="shared" si="4"/>
        <v>0.33333333333333331</v>
      </c>
      <c r="J25" s="3">
        <v>2</v>
      </c>
      <c r="K25" s="3">
        <v>3</v>
      </c>
      <c r="L25" s="3">
        <v>2</v>
      </c>
      <c r="M25" s="3">
        <v>2</v>
      </c>
      <c r="N25" s="3">
        <v>3</v>
      </c>
      <c r="O25" s="183">
        <v>2</v>
      </c>
      <c r="P25" s="3">
        <v>3</v>
      </c>
      <c r="Q25" s="3">
        <v>4</v>
      </c>
      <c r="R25" s="3">
        <v>4</v>
      </c>
      <c r="S25" s="3">
        <v>2</v>
      </c>
      <c r="T25" s="183">
        <v>1</v>
      </c>
      <c r="U25" s="183">
        <v>2</v>
      </c>
      <c r="V25" s="183">
        <v>0</v>
      </c>
      <c r="W25" s="3">
        <v>2</v>
      </c>
      <c r="X25" s="3">
        <v>2</v>
      </c>
      <c r="Y25" s="183">
        <v>2</v>
      </c>
      <c r="Z25" s="3">
        <v>2</v>
      </c>
      <c r="AA25" s="3">
        <v>3</v>
      </c>
      <c r="AB25" s="3">
        <v>1</v>
      </c>
      <c r="AC25" s="3">
        <v>0</v>
      </c>
    </row>
    <row r="26" spans="1:29">
      <c r="A26" t="s">
        <v>440</v>
      </c>
      <c r="B26" t="s">
        <v>427</v>
      </c>
      <c r="C26" t="s">
        <v>424</v>
      </c>
      <c r="D26" t="str">
        <f ca="1">CONCATENATE(uxb_globals!$B$15,uxb_scores_2008!C26)</f>
        <v xml:space="preserve">   Level of competition</v>
      </c>
      <c r="E26" t="s">
        <v>494</v>
      </c>
      <c r="F26" t="s">
        <v>520</v>
      </c>
      <c r="G26" s="37">
        <f ca="1">Weights!C28</f>
        <v>1</v>
      </c>
      <c r="H26">
        <f t="shared" si="3"/>
        <v>3</v>
      </c>
      <c r="I26" s="2">
        <f t="shared" si="4"/>
        <v>0.33333333333333331</v>
      </c>
      <c r="J26" s="3">
        <v>1</v>
      </c>
      <c r="K26" s="3">
        <v>2</v>
      </c>
      <c r="L26" s="3">
        <v>0</v>
      </c>
      <c r="M26" s="3">
        <v>0</v>
      </c>
      <c r="N26" s="3">
        <v>2</v>
      </c>
      <c r="O26" s="183">
        <v>0</v>
      </c>
      <c r="P26" s="3">
        <v>1</v>
      </c>
      <c r="Q26" s="3">
        <v>3</v>
      </c>
      <c r="R26" s="3">
        <v>2</v>
      </c>
      <c r="S26" s="3">
        <v>3</v>
      </c>
      <c r="T26" s="183">
        <v>0</v>
      </c>
      <c r="U26" s="183">
        <v>2</v>
      </c>
      <c r="V26" s="183">
        <v>0</v>
      </c>
      <c r="W26" s="3">
        <v>0</v>
      </c>
      <c r="X26" s="3">
        <v>3</v>
      </c>
      <c r="Y26" s="183">
        <v>0</v>
      </c>
      <c r="Z26" s="3">
        <v>1</v>
      </c>
      <c r="AA26" s="3">
        <v>3</v>
      </c>
      <c r="AB26" s="3">
        <v>0</v>
      </c>
      <c r="AC26" s="3">
        <v>0</v>
      </c>
    </row>
    <row r="29" spans="1:29">
      <c r="A29" t="s">
        <v>531</v>
      </c>
      <c r="C29" t="s">
        <v>542</v>
      </c>
      <c r="G29" s="181" t="s">
        <v>242</v>
      </c>
      <c r="J29">
        <v>7.1620934959349769E-4</v>
      </c>
      <c r="K29">
        <v>6.8873989289089568E-2</v>
      </c>
      <c r="L29">
        <v>2.2912327030738355E-3</v>
      </c>
      <c r="M29">
        <v>1.4455356066996111E-2</v>
      </c>
      <c r="N29">
        <v>2.0562607825179442E-2</v>
      </c>
      <c r="O29">
        <v>2.0917897091722596E-2</v>
      </c>
      <c r="P29">
        <v>2.938065138204414E-2</v>
      </c>
      <c r="Q29">
        <v>6.6109037472447216E-2</v>
      </c>
      <c r="R29">
        <v>4.2064233576642338E-2</v>
      </c>
      <c r="S29">
        <v>3.3060483569129426E-2</v>
      </c>
      <c r="T29">
        <v>8.7535416666666664E-3</v>
      </c>
      <c r="U29">
        <v>3.3627478554352414E-2</v>
      </c>
      <c r="V29">
        <v>2.740878629932986E-3</v>
      </c>
      <c r="W29">
        <v>1.2243403863845446E-2</v>
      </c>
      <c r="X29">
        <v>6.8917461361394275E-2</v>
      </c>
      <c r="Y29">
        <v>4.1667165519305594E-3</v>
      </c>
      <c r="Z29">
        <v>2.8554595918367346E-2</v>
      </c>
      <c r="AA29">
        <v>4.6531380172174397E-2</v>
      </c>
      <c r="AB29">
        <v>7.4277978339350181E-4</v>
      </c>
      <c r="AC29">
        <v>1.7904632751795991E-3</v>
      </c>
    </row>
    <row r="30" spans="1:29">
      <c r="A30" t="s">
        <v>532</v>
      </c>
      <c r="C30" t="s">
        <v>241</v>
      </c>
      <c r="G30" s="181" t="s">
        <v>242</v>
      </c>
      <c r="J30">
        <v>2.8115176915192966E-3</v>
      </c>
      <c r="K30">
        <v>0.31562869894023204</v>
      </c>
      <c r="L30">
        <v>1.2928303003645846E-2</v>
      </c>
      <c r="M30">
        <v>0.19904656431850123</v>
      </c>
      <c r="N30">
        <v>7.1735555704497106E-2</v>
      </c>
      <c r="P30">
        <v>0.10382451590780013</v>
      </c>
      <c r="Q30">
        <v>0.26904596525221602</v>
      </c>
      <c r="R30">
        <v>0.16196593161937706</v>
      </c>
      <c r="S30">
        <v>0.22704793189674516</v>
      </c>
      <c r="W30">
        <v>0.11716820292479894</v>
      </c>
      <c r="X30">
        <v>0.58347605802433988</v>
      </c>
      <c r="Z30">
        <v>6.179420534093856E-2</v>
      </c>
      <c r="AA30">
        <v>0.23518268818494176</v>
      </c>
      <c r="AB30">
        <v>1.8481447519663175E-2</v>
      </c>
      <c r="AC30">
        <v>1.3848243648281897E-2</v>
      </c>
    </row>
    <row r="32" spans="1:29" ht="11.25" customHeight="1">
      <c r="A32" s="135" t="s">
        <v>385</v>
      </c>
    </row>
    <row r="43" spans="3:29">
      <c r="C43" t="s">
        <v>484</v>
      </c>
    </row>
    <row r="44" spans="3:29">
      <c r="C44" s="83" t="s">
        <v>409</v>
      </c>
    </row>
    <row r="45" spans="3:29">
      <c r="C45" t="s">
        <v>410</v>
      </c>
      <c r="J45" t="s">
        <v>560</v>
      </c>
      <c r="K45" t="s">
        <v>561</v>
      </c>
      <c r="L45" t="s">
        <v>562</v>
      </c>
      <c r="M45" t="s">
        <v>179</v>
      </c>
      <c r="N45" t="s">
        <v>563</v>
      </c>
      <c r="O45" t="s">
        <v>365</v>
      </c>
      <c r="P45" t="s">
        <v>180</v>
      </c>
      <c r="Q45" t="s">
        <v>366</v>
      </c>
      <c r="R45" t="s">
        <v>367</v>
      </c>
      <c r="S45" t="s">
        <v>181</v>
      </c>
      <c r="T45" t="s">
        <v>368</v>
      </c>
      <c r="U45" t="s">
        <v>182</v>
      </c>
      <c r="V45" t="s">
        <v>183</v>
      </c>
      <c r="W45" t="s">
        <v>564</v>
      </c>
      <c r="X45" t="s">
        <v>565</v>
      </c>
      <c r="Y45" t="s">
        <v>566</v>
      </c>
      <c r="Z45" t="s">
        <v>184</v>
      </c>
      <c r="AA45" t="s">
        <v>185</v>
      </c>
      <c r="AB45" t="s">
        <v>663</v>
      </c>
      <c r="AC45" t="s">
        <v>128</v>
      </c>
    </row>
    <row r="46" spans="3:29">
      <c r="C46" t="s">
        <v>411</v>
      </c>
      <c r="J46" t="s">
        <v>567</v>
      </c>
      <c r="K46" t="s">
        <v>568</v>
      </c>
      <c r="L46" t="s">
        <v>569</v>
      </c>
      <c r="M46" t="s">
        <v>32</v>
      </c>
      <c r="N46" t="s">
        <v>98</v>
      </c>
      <c r="O46" t="s">
        <v>33</v>
      </c>
      <c r="P46" t="s">
        <v>570</v>
      </c>
      <c r="Q46" t="s">
        <v>571</v>
      </c>
      <c r="R46" t="s">
        <v>572</v>
      </c>
      <c r="S46" t="s">
        <v>34</v>
      </c>
      <c r="T46" t="s">
        <v>573</v>
      </c>
      <c r="U46" t="s">
        <v>574</v>
      </c>
      <c r="V46" t="s">
        <v>35</v>
      </c>
      <c r="W46" t="s">
        <v>575</v>
      </c>
      <c r="X46" t="s">
        <v>63</v>
      </c>
      <c r="Y46" t="s">
        <v>62</v>
      </c>
      <c r="Z46" t="s">
        <v>576</v>
      </c>
      <c r="AA46" t="s">
        <v>577</v>
      </c>
      <c r="AB46" t="s">
        <v>602</v>
      </c>
      <c r="AC46" t="s">
        <v>6</v>
      </c>
    </row>
    <row r="47" spans="3:29">
      <c r="C47" t="s">
        <v>412</v>
      </c>
      <c r="J47" t="s">
        <v>7</v>
      </c>
      <c r="K47" t="s">
        <v>603</v>
      </c>
      <c r="L47" t="s">
        <v>80</v>
      </c>
      <c r="M47" t="s">
        <v>99</v>
      </c>
      <c r="N47" t="s">
        <v>8</v>
      </c>
      <c r="O47" t="s">
        <v>9</v>
      </c>
      <c r="P47" t="s">
        <v>19</v>
      </c>
      <c r="Q47" t="s">
        <v>20</v>
      </c>
      <c r="R47" t="s">
        <v>21</v>
      </c>
      <c r="S47" t="s">
        <v>91</v>
      </c>
      <c r="T47" t="s">
        <v>92</v>
      </c>
      <c r="U47" t="s">
        <v>93</v>
      </c>
      <c r="V47" t="s">
        <v>604</v>
      </c>
      <c r="W47" t="s">
        <v>605</v>
      </c>
      <c r="X47" t="s">
        <v>95</v>
      </c>
      <c r="Y47" t="s">
        <v>94</v>
      </c>
      <c r="Z47" t="s">
        <v>96</v>
      </c>
      <c r="AA47" t="s">
        <v>606</v>
      </c>
      <c r="AB47" t="s">
        <v>607</v>
      </c>
      <c r="AC47" t="s">
        <v>27</v>
      </c>
    </row>
    <row r="48" spans="3:29">
      <c r="C48" t="s">
        <v>413</v>
      </c>
      <c r="J48" t="s">
        <v>608</v>
      </c>
      <c r="K48" t="s">
        <v>18</v>
      </c>
      <c r="L48" t="s">
        <v>609</v>
      </c>
      <c r="M48" t="s">
        <v>610</v>
      </c>
      <c r="N48" t="s">
        <v>611</v>
      </c>
      <c r="O48" t="s">
        <v>612</v>
      </c>
      <c r="P48" t="s">
        <v>555</v>
      </c>
      <c r="Q48" t="s">
        <v>68</v>
      </c>
      <c r="R48" t="s">
        <v>613</v>
      </c>
      <c r="S48" t="s">
        <v>22</v>
      </c>
      <c r="T48" t="s">
        <v>614</v>
      </c>
      <c r="U48" t="s">
        <v>615</v>
      </c>
      <c r="V48" t="s">
        <v>23</v>
      </c>
      <c r="W48" t="s">
        <v>39</v>
      </c>
      <c r="X48" t="s">
        <v>11</v>
      </c>
      <c r="Y48" t="s">
        <v>118</v>
      </c>
      <c r="Z48" t="s">
        <v>12</v>
      </c>
      <c r="AA48" t="s">
        <v>616</v>
      </c>
      <c r="AB48" t="s">
        <v>13</v>
      </c>
      <c r="AC48" t="s">
        <v>41</v>
      </c>
    </row>
    <row r="49" spans="3:29">
      <c r="C49" s="83" t="s">
        <v>414</v>
      </c>
    </row>
    <row r="50" spans="3:29">
      <c r="C50" t="s">
        <v>415</v>
      </c>
      <c r="J50" t="s">
        <v>617</v>
      </c>
      <c r="K50" t="s">
        <v>618</v>
      </c>
      <c r="L50" t="s">
        <v>67</v>
      </c>
      <c r="M50" t="s">
        <v>17</v>
      </c>
      <c r="N50" t="s">
        <v>123</v>
      </c>
      <c r="O50" t="s">
        <v>619</v>
      </c>
      <c r="P50" t="s">
        <v>69</v>
      </c>
      <c r="Q50" t="s">
        <v>47</v>
      </c>
      <c r="R50" t="s">
        <v>620</v>
      </c>
      <c r="S50" t="s">
        <v>25</v>
      </c>
      <c r="T50" t="s">
        <v>26</v>
      </c>
      <c r="U50" t="s">
        <v>50</v>
      </c>
      <c r="V50" t="s">
        <v>621</v>
      </c>
      <c r="W50" t="s">
        <v>3</v>
      </c>
      <c r="X50" t="s">
        <v>5</v>
      </c>
      <c r="Y50" t="s">
        <v>4</v>
      </c>
      <c r="Z50" t="s">
        <v>56</v>
      </c>
      <c r="AA50" t="s">
        <v>57</v>
      </c>
      <c r="AB50" t="s">
        <v>114</v>
      </c>
      <c r="AC50" t="s">
        <v>40</v>
      </c>
    </row>
    <row r="51" spans="3:29">
      <c r="C51" t="s">
        <v>416</v>
      </c>
      <c r="J51" t="s">
        <v>578</v>
      </c>
      <c r="K51" t="s">
        <v>61</v>
      </c>
      <c r="L51" t="s">
        <v>64</v>
      </c>
      <c r="M51" t="s">
        <v>579</v>
      </c>
      <c r="N51" t="s">
        <v>580</v>
      </c>
      <c r="O51" t="s">
        <v>65</v>
      </c>
      <c r="P51" t="s">
        <v>581</v>
      </c>
      <c r="Q51" t="s">
        <v>582</v>
      </c>
      <c r="R51" t="s">
        <v>583</v>
      </c>
      <c r="S51" t="s">
        <v>90</v>
      </c>
      <c r="T51" t="s">
        <v>15</v>
      </c>
      <c r="U51" t="s">
        <v>97</v>
      </c>
      <c r="V51" t="s">
        <v>584</v>
      </c>
      <c r="W51" t="s">
        <v>112</v>
      </c>
      <c r="X51" t="s">
        <v>76</v>
      </c>
      <c r="Y51" t="s">
        <v>113</v>
      </c>
      <c r="Z51" t="s">
        <v>585</v>
      </c>
      <c r="AA51" t="s">
        <v>77</v>
      </c>
      <c r="AB51" t="s">
        <v>78</v>
      </c>
      <c r="AC51" t="s">
        <v>79</v>
      </c>
    </row>
    <row r="52" spans="3:29">
      <c r="C52" t="s">
        <v>417</v>
      </c>
      <c r="J52" t="s">
        <v>586</v>
      </c>
      <c r="K52" t="s">
        <v>587</v>
      </c>
      <c r="L52" t="s">
        <v>588</v>
      </c>
      <c r="M52" t="s">
        <v>589</v>
      </c>
      <c r="N52" t="s">
        <v>590</v>
      </c>
      <c r="O52" t="s">
        <v>88</v>
      </c>
      <c r="P52" t="s">
        <v>591</v>
      </c>
      <c r="Q52" t="s">
        <v>89</v>
      </c>
      <c r="R52" t="s">
        <v>14</v>
      </c>
      <c r="S52" t="s">
        <v>66</v>
      </c>
      <c r="T52" t="s">
        <v>74</v>
      </c>
      <c r="U52" t="s">
        <v>75</v>
      </c>
      <c r="V52" t="s">
        <v>592</v>
      </c>
      <c r="W52" t="s">
        <v>58</v>
      </c>
      <c r="X52" t="s">
        <v>60</v>
      </c>
      <c r="Y52" t="s">
        <v>59</v>
      </c>
      <c r="Z52" t="s">
        <v>28</v>
      </c>
      <c r="AA52" t="s">
        <v>29</v>
      </c>
      <c r="AB52" t="s">
        <v>30</v>
      </c>
      <c r="AC52" t="s">
        <v>31</v>
      </c>
    </row>
    <row r="53" spans="3:29">
      <c r="C53" t="s">
        <v>418</v>
      </c>
      <c r="J53" t="s">
        <v>48</v>
      </c>
      <c r="K53" t="s">
        <v>49</v>
      </c>
      <c r="L53" t="s">
        <v>593</v>
      </c>
      <c r="M53" t="s">
        <v>126</v>
      </c>
      <c r="N53" t="s">
        <v>127</v>
      </c>
      <c r="O53" t="s">
        <v>24</v>
      </c>
      <c r="P53" t="s">
        <v>594</v>
      </c>
      <c r="Q53" t="s">
        <v>595</v>
      </c>
      <c r="R53" t="s">
        <v>596</v>
      </c>
      <c r="S53" t="s">
        <v>597</v>
      </c>
      <c r="T53" t="s">
        <v>71</v>
      </c>
      <c r="U53" t="s">
        <v>72</v>
      </c>
      <c r="V53" t="s">
        <v>73</v>
      </c>
      <c r="W53" t="s">
        <v>598</v>
      </c>
      <c r="X53" t="s">
        <v>70</v>
      </c>
      <c r="Y53" t="s">
        <v>599</v>
      </c>
      <c r="Z53" t="s">
        <v>0</v>
      </c>
      <c r="AA53" t="s">
        <v>1</v>
      </c>
      <c r="AB53" t="s">
        <v>2</v>
      </c>
      <c r="AC53" t="s">
        <v>124</v>
      </c>
    </row>
    <row r="54" spans="3:29">
      <c r="C54" t="s">
        <v>419</v>
      </c>
      <c r="J54" t="s">
        <v>600</v>
      </c>
      <c r="K54" t="s">
        <v>125</v>
      </c>
      <c r="L54" t="s">
        <v>601</v>
      </c>
      <c r="M54" t="s">
        <v>10</v>
      </c>
      <c r="N54" t="s">
        <v>622</v>
      </c>
      <c r="O54" t="s">
        <v>657</v>
      </c>
      <c r="P54" t="s">
        <v>658</v>
      </c>
      <c r="Q54" t="s">
        <v>659</v>
      </c>
      <c r="R54" t="s">
        <v>45</v>
      </c>
      <c r="S54" t="s">
        <v>42</v>
      </c>
      <c r="T54" t="s">
        <v>660</v>
      </c>
      <c r="U54" t="s">
        <v>43</v>
      </c>
      <c r="V54" t="s">
        <v>44</v>
      </c>
      <c r="W54" t="s">
        <v>661</v>
      </c>
      <c r="X54" t="s">
        <v>51</v>
      </c>
      <c r="Y54" t="s">
        <v>16</v>
      </c>
      <c r="Z54" t="s">
        <v>52</v>
      </c>
      <c r="AA54" t="s">
        <v>100</v>
      </c>
      <c r="AB54" t="s">
        <v>662</v>
      </c>
      <c r="AC54" t="s">
        <v>120</v>
      </c>
    </row>
    <row r="55" spans="3:29">
      <c r="C55" t="s">
        <v>420</v>
      </c>
      <c r="J55" t="s">
        <v>664</v>
      </c>
      <c r="K55" t="s">
        <v>665</v>
      </c>
      <c r="L55" t="s">
        <v>666</v>
      </c>
      <c r="M55" t="s">
        <v>38</v>
      </c>
      <c r="N55" t="s">
        <v>116</v>
      </c>
      <c r="O55" t="s">
        <v>117</v>
      </c>
      <c r="P55" t="s">
        <v>667</v>
      </c>
      <c r="Q55" t="s">
        <v>122</v>
      </c>
      <c r="R55" t="s">
        <v>669</v>
      </c>
      <c r="S55" t="s">
        <v>109</v>
      </c>
      <c r="T55" t="s">
        <v>53</v>
      </c>
      <c r="U55" t="s">
        <v>54</v>
      </c>
      <c r="V55" t="s">
        <v>55</v>
      </c>
      <c r="W55" t="s">
        <v>115</v>
      </c>
      <c r="X55" t="s">
        <v>36</v>
      </c>
      <c r="Y55" t="s">
        <v>670</v>
      </c>
      <c r="Z55" t="s">
        <v>81</v>
      </c>
      <c r="AA55" t="s">
        <v>671</v>
      </c>
      <c r="AB55" t="s">
        <v>82</v>
      </c>
      <c r="AC55" t="s">
        <v>83</v>
      </c>
    </row>
    <row r="56" spans="3:29">
      <c r="C56" s="83" t="s">
        <v>421</v>
      </c>
    </row>
    <row r="57" spans="3:29">
      <c r="C57" t="s">
        <v>422</v>
      </c>
      <c r="J57" t="s">
        <v>84</v>
      </c>
      <c r="K57" t="s">
        <v>672</v>
      </c>
      <c r="L57" t="s">
        <v>85</v>
      </c>
      <c r="M57" t="s">
        <v>86</v>
      </c>
      <c r="N57" t="s">
        <v>87</v>
      </c>
      <c r="O57" t="s">
        <v>673</v>
      </c>
      <c r="P57" t="s">
        <v>101</v>
      </c>
      <c r="Q57" t="s">
        <v>674</v>
      </c>
      <c r="R57" t="s">
        <v>102</v>
      </c>
      <c r="S57" t="s">
        <v>675</v>
      </c>
      <c r="T57" t="s">
        <v>103</v>
      </c>
      <c r="U57" t="s">
        <v>676</v>
      </c>
      <c r="V57" t="s">
        <v>104</v>
      </c>
      <c r="W57" t="s">
        <v>105</v>
      </c>
      <c r="X57" t="s">
        <v>677</v>
      </c>
      <c r="Y57" t="s">
        <v>106</v>
      </c>
      <c r="Z57" t="s">
        <v>678</v>
      </c>
      <c r="AA57" t="s">
        <v>107</v>
      </c>
      <c r="AB57" t="s">
        <v>679</v>
      </c>
      <c r="AC57" t="s">
        <v>108</v>
      </c>
    </row>
    <row r="58" spans="3:29">
      <c r="C58" t="s">
        <v>423</v>
      </c>
      <c r="J58" t="s">
        <v>680</v>
      </c>
      <c r="K58" t="s">
        <v>681</v>
      </c>
      <c r="L58" t="s">
        <v>682</v>
      </c>
      <c r="M58" t="s">
        <v>683</v>
      </c>
      <c r="N58" t="s">
        <v>37</v>
      </c>
      <c r="O58" t="s">
        <v>623</v>
      </c>
      <c r="P58" t="s">
        <v>624</v>
      </c>
      <c r="Q58" t="s">
        <v>625</v>
      </c>
      <c r="R58" t="s">
        <v>626</v>
      </c>
      <c r="S58" t="s">
        <v>627</v>
      </c>
      <c r="T58" t="s">
        <v>628</v>
      </c>
      <c r="U58" t="s">
        <v>629</v>
      </c>
      <c r="V58" t="s">
        <v>630</v>
      </c>
      <c r="W58" t="s">
        <v>631</v>
      </c>
      <c r="X58" t="s">
        <v>632</v>
      </c>
      <c r="Y58" t="s">
        <v>656</v>
      </c>
      <c r="Z58" t="s">
        <v>633</v>
      </c>
      <c r="AA58" t="s">
        <v>634</v>
      </c>
      <c r="AB58" t="s">
        <v>635</v>
      </c>
      <c r="AC58" t="s">
        <v>636</v>
      </c>
    </row>
    <row r="59" spans="3:29">
      <c r="C59" t="s">
        <v>424</v>
      </c>
      <c r="J59" t="s">
        <v>637</v>
      </c>
      <c r="K59" t="s">
        <v>638</v>
      </c>
      <c r="L59" t="s">
        <v>639</v>
      </c>
      <c r="M59" t="s">
        <v>640</v>
      </c>
      <c r="N59" t="s">
        <v>641</v>
      </c>
      <c r="O59" t="s">
        <v>642</v>
      </c>
      <c r="P59" t="s">
        <v>643</v>
      </c>
      <c r="Q59" t="s">
        <v>644</v>
      </c>
      <c r="R59" t="s">
        <v>645</v>
      </c>
      <c r="S59" t="s">
        <v>668</v>
      </c>
      <c r="T59" t="s">
        <v>646</v>
      </c>
      <c r="U59" t="s">
        <v>647</v>
      </c>
      <c r="V59" t="s">
        <v>648</v>
      </c>
      <c r="W59" t="s">
        <v>649</v>
      </c>
      <c r="X59" t="s">
        <v>650</v>
      </c>
      <c r="Y59" t="s">
        <v>651</v>
      </c>
      <c r="Z59" t="s">
        <v>652</v>
      </c>
      <c r="AA59" t="s">
        <v>653</v>
      </c>
      <c r="AB59" t="s">
        <v>654</v>
      </c>
      <c r="AC59" t="s">
        <v>655</v>
      </c>
    </row>
  </sheetData>
  <phoneticPr fontId="59" type="noConversion"/>
  <pageMargins left="0.75" right="0.75" top="1" bottom="1" header="0.5" footer="0.5"/>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sheetPr codeName="Sheet7"/>
  <dimension ref="A1:X43"/>
  <sheetViews>
    <sheetView zoomScale="70" zoomScaleNormal="70" workbookViewId="0">
      <selection activeCell="D24" sqref="D24"/>
    </sheetView>
  </sheetViews>
  <sheetFormatPr defaultRowHeight="12.75"/>
  <cols>
    <col min="6" max="23" width="4.42578125" customWidth="1"/>
  </cols>
  <sheetData>
    <row r="1" spans="1:24">
      <c r="A1" s="157" t="s">
        <v>167</v>
      </c>
      <c r="B1">
        <f ca="1">uxb_globals!B3</f>
        <v>18</v>
      </c>
    </row>
    <row r="2" spans="1:24">
      <c r="A2" s="157" t="s">
        <v>458</v>
      </c>
      <c r="B2" t="str">
        <f ca="1">uxb_globals!B5</f>
        <v>Peru</v>
      </c>
    </row>
    <row r="3" spans="1:24">
      <c r="A3" s="157" t="s">
        <v>168</v>
      </c>
      <c r="B3">
        <f ca="1">INDEX(D9:X9,$B$1)</f>
        <v>0.23518268818494176</v>
      </c>
    </row>
    <row r="4" spans="1:24">
      <c r="A4" s="157" t="s">
        <v>169</v>
      </c>
      <c r="B4">
        <f ca="1">INDEX(D10:X10,$B$1)</f>
        <v>76.608333333333334</v>
      </c>
    </row>
    <row r="5" spans="1:24">
      <c r="A5" s="157"/>
    </row>
    <row r="6" spans="1:24">
      <c r="A6" s="157"/>
    </row>
    <row r="7" spans="1:24">
      <c r="A7" s="1" t="s">
        <v>165</v>
      </c>
    </row>
    <row r="8" spans="1:24">
      <c r="D8" t="s">
        <v>394</v>
      </c>
      <c r="E8" t="s">
        <v>395</v>
      </c>
      <c r="F8" t="s">
        <v>396</v>
      </c>
      <c r="G8" t="s">
        <v>397</v>
      </c>
      <c r="H8" t="s">
        <v>398</v>
      </c>
      <c r="I8" t="s">
        <v>143</v>
      </c>
      <c r="J8" t="s">
        <v>399</v>
      </c>
      <c r="K8" t="s">
        <v>400</v>
      </c>
      <c r="L8" t="s">
        <v>401</v>
      </c>
      <c r="M8" t="s">
        <v>402</v>
      </c>
      <c r="N8" t="s">
        <v>144</v>
      </c>
      <c r="O8" t="s">
        <v>145</v>
      </c>
      <c r="P8" t="s">
        <v>146</v>
      </c>
      <c r="Q8" t="s">
        <v>403</v>
      </c>
      <c r="R8" t="s">
        <v>404</v>
      </c>
      <c r="S8" t="s">
        <v>147</v>
      </c>
      <c r="T8" t="s">
        <v>405</v>
      </c>
      <c r="U8" t="s">
        <v>406</v>
      </c>
      <c r="V8" t="s">
        <v>407</v>
      </c>
      <c r="W8" t="s">
        <v>408</v>
      </c>
      <c r="X8" s="189" t="s">
        <v>375</v>
      </c>
    </row>
    <row r="9" spans="1:24">
      <c r="A9" t="str">
        <f ca="1">uxb_globals!B40</f>
        <v>DEP02</v>
      </c>
      <c r="B9">
        <f ca="1">MATCH(A9,uxb_scores_2008!A$3:A$30,0)</f>
        <v>28</v>
      </c>
      <c r="C9" t="str">
        <f ca="1">INDEX(uxb_scores_2008!C$3:C$30,B9,0)</f>
        <v>MFI clients as % of microenterprises</v>
      </c>
      <c r="D9">
        <f ca="1">OFFSET(uxb_scores_2008!J$2,$B$9,0)</f>
        <v>2.8115176915192966E-3</v>
      </c>
      <c r="E9">
        <f ca="1">OFFSET(uxb_scores_2008!K$2,$B$9,0)</f>
        <v>0.31562869894023204</v>
      </c>
      <c r="F9">
        <f ca="1">OFFSET(uxb_scores_2008!L$2,$B$9,0)</f>
        <v>1.2928303003645846E-2</v>
      </c>
      <c r="G9">
        <f ca="1">OFFSET(uxb_scores_2008!M$2,$B$9,0)</f>
        <v>0.19904656431850123</v>
      </c>
      <c r="H9">
        <f ca="1">OFFSET(uxb_scores_2008!N$2,$B$9,0)</f>
        <v>7.1735555704497106E-2</v>
      </c>
      <c r="I9">
        <f ca="1">OFFSET(uxb_scores_2008!O$2,$B$9,0)</f>
        <v>0</v>
      </c>
      <c r="J9">
        <f ca="1">OFFSET(uxb_scores_2008!P$2,$B$9,0)</f>
        <v>0.10382451590780013</v>
      </c>
      <c r="K9">
        <f ca="1">OFFSET(uxb_scores_2008!Q$2,$B$9,0)</f>
        <v>0.26904596525221602</v>
      </c>
      <c r="L9">
        <f ca="1">OFFSET(uxb_scores_2008!R$2,$B$9,0)</f>
        <v>0.16196593161937706</v>
      </c>
      <c r="M9">
        <f ca="1">OFFSET(uxb_scores_2008!S$2,$B$9,0)</f>
        <v>0.22704793189674516</v>
      </c>
      <c r="N9">
        <f ca="1">OFFSET(uxb_scores_2008!T$2,$B$9,0)</f>
        <v>0</v>
      </c>
      <c r="O9">
        <f ca="1">OFFSET(uxb_scores_2008!U$2,$B$9,0)</f>
        <v>0</v>
      </c>
      <c r="P9">
        <f ca="1">OFFSET(uxb_scores_2008!V$2,$B$9,0)</f>
        <v>0</v>
      </c>
      <c r="Q9">
        <f ca="1">OFFSET(uxb_scores_2008!W$2,$B$9,0)</f>
        <v>0.11716820292479894</v>
      </c>
      <c r="R9">
        <f ca="1">OFFSET(uxb_scores_2008!X$2,$B$9,0)</f>
        <v>0.58347605802433988</v>
      </c>
      <c r="S9">
        <f ca="1">OFFSET(uxb_scores_2008!Y$2,$B$9,0)</f>
        <v>0</v>
      </c>
      <c r="T9">
        <f ca="1">OFFSET(uxb_scores_2008!Z$2,$B$9,0)</f>
        <v>6.179420534093856E-2</v>
      </c>
      <c r="U9">
        <f ca="1">OFFSET(uxb_scores_2008!AA$2,$B$9,0)</f>
        <v>0.23518268818494176</v>
      </c>
      <c r="V9">
        <f ca="1">OFFSET(uxb_scores_2008!AB$2,$B$9,0)</f>
        <v>1.8481447519663175E-2</v>
      </c>
      <c r="W9">
        <f ca="1">OFFSET(uxb_scores_2008!AC$2,$B$9,0)</f>
        <v>1.3848243648281897E-2</v>
      </c>
      <c r="X9" t="e">
        <f>NA()</f>
        <v>#N/A</v>
      </c>
    </row>
    <row r="10" spans="1:24">
      <c r="A10" t="str">
        <f ca="1">uxb_globals!B45</f>
        <v>OVERALL00</v>
      </c>
      <c r="B10">
        <f ca="1">MATCH(A10,uxb_scores_2008!A$3:A$30,0)</f>
        <v>1</v>
      </c>
      <c r="C10" t="str">
        <f ca="1">INDEX(uxb_scores_2008!C$3:C$30,B10,0)</f>
        <v>Overall score</v>
      </c>
      <c r="D10">
        <f ca="1">OFFSET(uxb_scores_2008!J$2,$B$10,0)</f>
        <v>28.5</v>
      </c>
      <c r="E10">
        <f ca="1">OFFSET(uxb_scores_2008!K$2,$B$10,0)</f>
        <v>74.388888888888886</v>
      </c>
      <c r="F10">
        <f ca="1">OFFSET(uxb_scores_2008!L$2,$B$10,0)</f>
        <v>41.555555555555557</v>
      </c>
      <c r="G10">
        <f ca="1">OFFSET(uxb_scores_2008!M$2,$B$10,0)</f>
        <v>43.166666666666671</v>
      </c>
      <c r="H10">
        <f ca="1">OFFSET(uxb_scores_2008!N$2,$B$10,0)</f>
        <v>58.611111111111114</v>
      </c>
      <c r="I10">
        <f ca="1">OFFSET(uxb_scores_2008!O$2,$B$10,0)</f>
        <v>40.274999999999991</v>
      </c>
      <c r="J10">
        <f ca="1">OFFSET(uxb_scores_2008!P$2,$B$10,0)</f>
        <v>48</v>
      </c>
      <c r="K10">
        <f ca="1">OFFSET(uxb_scores_2008!Q$2,$B$10,0)</f>
        <v>69.666666666666671</v>
      </c>
      <c r="L10">
        <f ca="1">OFFSET(uxb_scores_2008!R$2,$B$10,0)</f>
        <v>58.999999999999993</v>
      </c>
      <c r="M10">
        <f ca="1">OFFSET(uxb_scores_2008!S$2,$B$10,0)</f>
        <v>54</v>
      </c>
      <c r="N10">
        <f ca="1">OFFSET(uxb_scores_2008!T$2,$B$10,0)</f>
        <v>30.166666666666664</v>
      </c>
      <c r="O10">
        <f ca="1">OFFSET(uxb_scores_2008!U$2,$B$10,0)</f>
        <v>47.108333333333334</v>
      </c>
      <c r="P10">
        <f ca="1">OFFSET(uxb_scores_2008!V$2,$B$10,0)</f>
        <v>21.166666666666664</v>
      </c>
      <c r="Q10">
        <f ca="1">OFFSET(uxb_scores_2008!W$2,$B$10,0)</f>
        <v>47.5</v>
      </c>
      <c r="R10">
        <f ca="1">OFFSET(uxb_scores_2008!X$2,$B$10,0)</f>
        <v>58</v>
      </c>
      <c r="S10">
        <f ca="1">OFFSET(uxb_scores_2008!Y$2,$B$10,0)</f>
        <v>47.5</v>
      </c>
      <c r="T10">
        <f ca="1">OFFSET(uxb_scores_2008!Z$2,$B$10,0)</f>
        <v>49.608333333333327</v>
      </c>
      <c r="U10">
        <f ca="1">OFFSET(uxb_scores_2008!AA$2,$B$10,0)</f>
        <v>76.608333333333334</v>
      </c>
      <c r="V10">
        <f ca="1">OFFSET(uxb_scores_2008!AB$2,$B$10,0)</f>
        <v>28.333333333333329</v>
      </c>
      <c r="W10">
        <f ca="1">OFFSET(uxb_scores_2008!AC$2,$B$10,0)</f>
        <v>24.941666666666663</v>
      </c>
      <c r="X10" t="e">
        <f>NA()</f>
        <v>#N/A</v>
      </c>
    </row>
    <row r="12" spans="1:24">
      <c r="A12" s="1" t="s">
        <v>166</v>
      </c>
    </row>
    <row r="13" spans="1:24">
      <c r="C13" t="str">
        <f>C9</f>
        <v>MFI clients as % of microenterprises</v>
      </c>
      <c r="D13">
        <f ca="1">IF(D$8=$B$2,NA(),D9)</f>
        <v>2.8115176915192966E-3</v>
      </c>
      <c r="E13">
        <f t="shared" ref="E13:W13" ca="1" si="0">IF(E$8=$B$2,NA(),E9)</f>
        <v>0.31562869894023204</v>
      </c>
      <c r="F13">
        <f t="shared" ca="1" si="0"/>
        <v>1.2928303003645846E-2</v>
      </c>
      <c r="G13">
        <f t="shared" ca="1" si="0"/>
        <v>0.19904656431850123</v>
      </c>
      <c r="H13">
        <f t="shared" ca="1" si="0"/>
        <v>7.1735555704497106E-2</v>
      </c>
      <c r="I13">
        <f t="shared" ca="1" si="0"/>
        <v>0</v>
      </c>
      <c r="J13">
        <f t="shared" ca="1" si="0"/>
        <v>0.10382451590780013</v>
      </c>
      <c r="K13">
        <f t="shared" ca="1" si="0"/>
        <v>0.26904596525221602</v>
      </c>
      <c r="L13">
        <f t="shared" ca="1" si="0"/>
        <v>0.16196593161937706</v>
      </c>
      <c r="M13">
        <f t="shared" ca="1" si="0"/>
        <v>0.22704793189674516</v>
      </c>
      <c r="N13">
        <f t="shared" ca="1" si="0"/>
        <v>0</v>
      </c>
      <c r="O13">
        <f t="shared" ca="1" si="0"/>
        <v>0</v>
      </c>
      <c r="P13">
        <f t="shared" ca="1" si="0"/>
        <v>0</v>
      </c>
      <c r="Q13">
        <f t="shared" ca="1" si="0"/>
        <v>0.11716820292479894</v>
      </c>
      <c r="R13">
        <f t="shared" ca="1" si="0"/>
        <v>0.58347605802433988</v>
      </c>
      <c r="S13">
        <f t="shared" ca="1" si="0"/>
        <v>0</v>
      </c>
      <c r="T13">
        <f t="shared" ca="1" si="0"/>
        <v>6.179420534093856E-2</v>
      </c>
      <c r="U13" t="e">
        <f t="shared" si="0"/>
        <v>#N/A</v>
      </c>
      <c r="V13">
        <f t="shared" ca="1" si="0"/>
        <v>1.8481447519663175E-2</v>
      </c>
      <c r="W13">
        <f t="shared" ca="1" si="0"/>
        <v>1.3848243648281897E-2</v>
      </c>
      <c r="X13" t="e">
        <f>NA()</f>
        <v>#N/A</v>
      </c>
    </row>
    <row r="14" spans="1:24">
      <c r="C14" t="str">
        <f>C10</f>
        <v>Overall score</v>
      </c>
      <c r="D14">
        <f ca="1">IF(D$8=$B$2,NA(),D10)</f>
        <v>28.5</v>
      </c>
      <c r="E14">
        <f t="shared" ref="E14:W14" ca="1" si="1">IF(E$8=$B$2,NA(),E10)</f>
        <v>74.388888888888886</v>
      </c>
      <c r="F14">
        <f t="shared" ca="1" si="1"/>
        <v>41.555555555555557</v>
      </c>
      <c r="G14">
        <f t="shared" ca="1" si="1"/>
        <v>43.166666666666671</v>
      </c>
      <c r="H14">
        <f t="shared" ca="1" si="1"/>
        <v>58.611111111111114</v>
      </c>
      <c r="I14">
        <f t="shared" ca="1" si="1"/>
        <v>40.274999999999991</v>
      </c>
      <c r="J14">
        <f t="shared" ca="1" si="1"/>
        <v>48</v>
      </c>
      <c r="K14">
        <f t="shared" ca="1" si="1"/>
        <v>69.666666666666671</v>
      </c>
      <c r="L14">
        <f t="shared" ca="1" si="1"/>
        <v>58.999999999999993</v>
      </c>
      <c r="M14">
        <f t="shared" ca="1" si="1"/>
        <v>54</v>
      </c>
      <c r="N14">
        <f t="shared" ca="1" si="1"/>
        <v>30.166666666666664</v>
      </c>
      <c r="O14">
        <f t="shared" ca="1" si="1"/>
        <v>47.108333333333334</v>
      </c>
      <c r="P14">
        <f t="shared" ca="1" si="1"/>
        <v>21.166666666666664</v>
      </c>
      <c r="Q14">
        <f t="shared" ca="1" si="1"/>
        <v>47.5</v>
      </c>
      <c r="R14">
        <f t="shared" ca="1" si="1"/>
        <v>58</v>
      </c>
      <c r="S14">
        <f t="shared" ca="1" si="1"/>
        <v>47.5</v>
      </c>
      <c r="T14">
        <f t="shared" ca="1" si="1"/>
        <v>49.608333333333327</v>
      </c>
      <c r="U14" t="e">
        <f t="shared" si="1"/>
        <v>#N/A</v>
      </c>
      <c r="V14">
        <f t="shared" ca="1" si="1"/>
        <v>28.333333333333329</v>
      </c>
      <c r="W14">
        <f t="shared" ca="1" si="1"/>
        <v>24.941666666666663</v>
      </c>
      <c r="X14" t="e">
        <f>NA()</f>
        <v>#N/A</v>
      </c>
    </row>
    <row r="19" spans="1:5">
      <c r="A19" t="s">
        <v>532</v>
      </c>
      <c r="C19">
        <f ca="1">CORREL(D9:W9,D10:W10)</f>
        <v>0.66415951842498366</v>
      </c>
    </row>
    <row r="20" spans="1:5">
      <c r="A20" t="s">
        <v>483</v>
      </c>
    </row>
    <row r="24" spans="1:5">
      <c r="B24">
        <f ca="1">MATCH(C24,D$8:W$8,0)</f>
        <v>15</v>
      </c>
      <c r="C24" t="str">
        <f ca="1">uxb_ranking!AN8</f>
        <v>Nicaragua</v>
      </c>
      <c r="D24">
        <f ca="1">uxb_ranking!AU8</f>
        <v>0.58350000000000002</v>
      </c>
      <c r="E24" s="3">
        <f ca="1">OFFSET($C$10,0,B24)</f>
        <v>58</v>
      </c>
    </row>
    <row r="25" spans="1:5">
      <c r="B25">
        <f t="shared" ref="B25:B38" ca="1" si="2">MATCH(C25,D$8:W$8,0)</f>
        <v>2</v>
      </c>
      <c r="C25" t="str">
        <f ca="1">uxb_ranking!AN9</f>
        <v>Bolivia</v>
      </c>
      <c r="D25">
        <f ca="1">uxb_ranking!AU9</f>
        <v>0.31559999999999999</v>
      </c>
      <c r="E25" s="3">
        <f t="shared" ref="E25:E38" ca="1" si="3">OFFSET($C$10,0,B25)</f>
        <v>74.388888888888886</v>
      </c>
    </row>
    <row r="26" spans="1:5">
      <c r="B26">
        <f t="shared" ca="1" si="2"/>
        <v>8</v>
      </c>
      <c r="C26" t="str">
        <f ca="1">uxb_ranking!AN10</f>
        <v>Ecuador</v>
      </c>
      <c r="D26">
        <f ca="1">uxb_ranking!AU10</f>
        <v>0.26900000000000002</v>
      </c>
      <c r="E26" s="3">
        <f t="shared" ca="1" si="3"/>
        <v>69.666666666666671</v>
      </c>
    </row>
    <row r="27" spans="1:5">
      <c r="B27">
        <f t="shared" ca="1" si="2"/>
        <v>18</v>
      </c>
      <c r="C27" t="str">
        <f ca="1">uxb_ranking!AN11</f>
        <v>Peru</v>
      </c>
      <c r="D27">
        <f ca="1">uxb_ranking!AU11</f>
        <v>0.23519999999999999</v>
      </c>
      <c r="E27" s="3">
        <f t="shared" ca="1" si="3"/>
        <v>76.608333333333334</v>
      </c>
    </row>
    <row r="28" spans="1:5">
      <c r="B28">
        <f t="shared" ca="1" si="2"/>
        <v>10</v>
      </c>
      <c r="C28" t="str">
        <f ca="1">uxb_ranking!AN12</f>
        <v>Guatemala</v>
      </c>
      <c r="D28">
        <f ca="1">uxb_ranking!AU12</f>
        <v>0.22700000000000001</v>
      </c>
      <c r="E28" s="3">
        <f t="shared" ca="1" si="3"/>
        <v>54</v>
      </c>
    </row>
    <row r="29" spans="1:5">
      <c r="B29">
        <f t="shared" ca="1" si="2"/>
        <v>4</v>
      </c>
      <c r="C29" t="str">
        <f ca="1">uxb_ranking!AN13</f>
        <v>Chile</v>
      </c>
      <c r="D29">
        <f ca="1">uxb_ranking!AU13</f>
        <v>0.19900000000000001</v>
      </c>
      <c r="E29" s="3">
        <f t="shared" ca="1" si="3"/>
        <v>43.166666666666671</v>
      </c>
    </row>
    <row r="30" spans="1:5">
      <c r="B30">
        <f t="shared" ca="1" si="2"/>
        <v>9</v>
      </c>
      <c r="C30" t="str">
        <f ca="1">uxb_ranking!AN14</f>
        <v>El Salvador</v>
      </c>
      <c r="D30">
        <f ca="1">uxb_ranking!AU14</f>
        <v>0.16200000000000001</v>
      </c>
      <c r="E30" s="3">
        <f t="shared" ca="1" si="3"/>
        <v>58.999999999999993</v>
      </c>
    </row>
    <row r="31" spans="1:5">
      <c r="B31">
        <f t="shared" ca="1" si="2"/>
        <v>14</v>
      </c>
      <c r="C31" t="str">
        <f ca="1">uxb_ranking!AN15</f>
        <v>Mexico</v>
      </c>
      <c r="D31">
        <f ca="1">uxb_ranking!AU15</f>
        <v>0.1172</v>
      </c>
      <c r="E31" s="3">
        <f t="shared" ca="1" si="3"/>
        <v>47.5</v>
      </c>
    </row>
    <row r="32" spans="1:5">
      <c r="B32">
        <f t="shared" ca="1" si="2"/>
        <v>7</v>
      </c>
      <c r="C32" t="str">
        <f ca="1">uxb_ranking!AN16</f>
        <v>Dominican Rep</v>
      </c>
      <c r="D32">
        <f ca="1">uxb_ranking!AU16</f>
        <v>0.1038</v>
      </c>
      <c r="E32" s="3">
        <f t="shared" ca="1" si="3"/>
        <v>48</v>
      </c>
    </row>
    <row r="33" spans="2:5">
      <c r="B33">
        <f t="shared" ca="1" si="2"/>
        <v>5</v>
      </c>
      <c r="C33" t="str">
        <f ca="1">uxb_ranking!AN17</f>
        <v>Colombia</v>
      </c>
      <c r="D33">
        <f ca="1">uxb_ranking!AU17</f>
        <v>7.17E-2</v>
      </c>
      <c r="E33" s="3">
        <f t="shared" ca="1" si="3"/>
        <v>58.611111111111114</v>
      </c>
    </row>
    <row r="34" spans="2:5">
      <c r="B34">
        <f t="shared" ca="1" si="2"/>
        <v>17</v>
      </c>
      <c r="C34" t="str">
        <f ca="1">uxb_ranking!AN18</f>
        <v>Paraguay</v>
      </c>
      <c r="D34">
        <f ca="1">uxb_ranking!AU18</f>
        <v>6.1800000000000001E-2</v>
      </c>
      <c r="E34" s="3">
        <f t="shared" ca="1" si="3"/>
        <v>49.608333333333327</v>
      </c>
    </row>
    <row r="35" spans="2:5">
      <c r="B35">
        <f t="shared" ca="1" si="2"/>
        <v>19</v>
      </c>
      <c r="C35" t="str">
        <f ca="1">uxb_ranking!AN19</f>
        <v>Uruguay</v>
      </c>
      <c r="D35">
        <f ca="1">uxb_ranking!AU19</f>
        <v>1.8499999999999999E-2</v>
      </c>
      <c r="E35" s="3">
        <f t="shared" ca="1" si="3"/>
        <v>28.333333333333329</v>
      </c>
    </row>
    <row r="36" spans="2:5">
      <c r="B36">
        <f t="shared" ca="1" si="2"/>
        <v>20</v>
      </c>
      <c r="C36" t="str">
        <f ca="1">uxb_ranking!AN20</f>
        <v>Venezuela</v>
      </c>
      <c r="D36">
        <f ca="1">uxb_ranking!AU20</f>
        <v>1.38E-2</v>
      </c>
      <c r="E36" s="3">
        <f t="shared" ca="1" si="3"/>
        <v>24.941666666666663</v>
      </c>
    </row>
    <row r="37" spans="2:5">
      <c r="B37">
        <f t="shared" ca="1" si="2"/>
        <v>3</v>
      </c>
      <c r="C37" t="str">
        <f ca="1">uxb_ranking!AN21</f>
        <v>Brazil</v>
      </c>
      <c r="D37">
        <f ca="1">uxb_ranking!AU21</f>
        <v>1.29E-2</v>
      </c>
      <c r="E37" s="3">
        <f t="shared" ca="1" si="3"/>
        <v>41.555555555555557</v>
      </c>
    </row>
    <row r="38" spans="2:5">
      <c r="B38">
        <f t="shared" ca="1" si="2"/>
        <v>1</v>
      </c>
      <c r="C38" t="str">
        <f ca="1">uxb_ranking!AN22</f>
        <v>Argentina</v>
      </c>
      <c r="D38">
        <f ca="1">uxb_ranking!AU22</f>
        <v>2.8E-3</v>
      </c>
      <c r="E38" s="3">
        <f t="shared" ca="1" si="3"/>
        <v>28.5</v>
      </c>
    </row>
    <row r="39" spans="2:5">
      <c r="B39">
        <f ca="1">MATCH(C39,D$8:W$8,0)</f>
        <v>6</v>
      </c>
      <c r="C39" t="str">
        <f ca="1">uxb_ranking!AN23</f>
        <v>Costa Rica</v>
      </c>
      <c r="D39">
        <f ca="1">uxb_ranking!AU23</f>
        <v>0</v>
      </c>
      <c r="E39" s="3">
        <f ca="1">OFFSET($C$10,0,B39)</f>
        <v>40.274999999999991</v>
      </c>
    </row>
    <row r="40" spans="2:5">
      <c r="B40">
        <f ca="1">MATCH(C40,D$8:W$8,0)</f>
        <v>11</v>
      </c>
      <c r="C40" t="str">
        <f ca="1">uxb_ranking!AN24</f>
        <v>Haiti</v>
      </c>
      <c r="D40">
        <f ca="1">uxb_ranking!AU24</f>
        <v>0</v>
      </c>
      <c r="E40" s="3">
        <f ca="1">OFFSET($C$10,0,B40)</f>
        <v>30.166666666666664</v>
      </c>
    </row>
    <row r="41" spans="2:5">
      <c r="B41">
        <f ca="1">MATCH(C41,D$8:W$8,0)</f>
        <v>12</v>
      </c>
      <c r="C41" t="str">
        <f ca="1">uxb_ranking!AN25</f>
        <v>Honduras</v>
      </c>
      <c r="D41">
        <f ca="1">uxb_ranking!AU25</f>
        <v>0</v>
      </c>
      <c r="E41" s="3">
        <f ca="1">OFFSET($C$10,0,B41)</f>
        <v>47.108333333333334</v>
      </c>
    </row>
    <row r="42" spans="2:5">
      <c r="B42">
        <f ca="1">MATCH(C42,D$8:W$8,0)</f>
        <v>13</v>
      </c>
      <c r="C42" t="str">
        <f ca="1">uxb_ranking!AN26</f>
        <v>Jamaica</v>
      </c>
      <c r="D42">
        <f ca="1">uxb_ranking!AU26</f>
        <v>0</v>
      </c>
      <c r="E42" s="3">
        <f ca="1">OFFSET($C$10,0,B42)</f>
        <v>21.166666666666664</v>
      </c>
    </row>
    <row r="43" spans="2:5">
      <c r="B43">
        <f ca="1">MATCH(C43,D$8:W$8,0)</f>
        <v>16</v>
      </c>
      <c r="C43" t="str">
        <f ca="1">uxb_ranking!AN27</f>
        <v>Panama</v>
      </c>
      <c r="D43">
        <f ca="1">uxb_ranking!AU27</f>
        <v>0</v>
      </c>
      <c r="E43" s="3">
        <f ca="1">OFFSET($C$10,0,B43)</f>
        <v>47.5</v>
      </c>
    </row>
  </sheetData>
  <phoneticPr fontId="2" type="noConversion"/>
  <pageMargins left="0.75" right="0.75" top="1" bottom="1" header="0.5" footer="0.5"/>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sheetPr codeName="Sheet14">
    <pageSetUpPr fitToPage="1"/>
  </sheetPr>
  <dimension ref="A1:CC28"/>
  <sheetViews>
    <sheetView showGridLines="0" showRowColHeaders="0" workbookViewId="0">
      <selection activeCell="N7" sqref="N7"/>
    </sheetView>
  </sheetViews>
  <sheetFormatPr defaultRowHeight="12.75"/>
  <cols>
    <col min="1" max="1" width="2.140625" customWidth="1"/>
    <col min="2" max="2" width="3.140625" customWidth="1"/>
    <col min="12" max="12" width="13.28515625" customWidth="1"/>
    <col min="13" max="13" width="3.85546875" customWidth="1"/>
    <col min="14" max="14" width="14.7109375" bestFit="1" customWidth="1"/>
  </cols>
  <sheetData>
    <row r="1" spans="1:81" s="9" customFormat="1" ht="21" customHeight="1">
      <c r="A1" s="21" t="s">
        <v>391</v>
      </c>
      <c r="B1" s="21"/>
      <c r="C1" s="7"/>
      <c r="D1" s="7"/>
      <c r="E1" s="7"/>
      <c r="F1" s="7"/>
      <c r="G1" s="7"/>
      <c r="H1" s="7"/>
      <c r="I1" s="7"/>
      <c r="J1" s="7"/>
      <c r="K1" s="7"/>
      <c r="L1" s="7"/>
      <c r="M1" s="7"/>
      <c r="N1" s="7"/>
      <c r="O1" s="7"/>
      <c r="P1" s="7"/>
      <c r="Q1" s="7"/>
      <c r="R1" s="8"/>
      <c r="S1" s="7"/>
      <c r="T1" s="7"/>
      <c r="V1" s="7"/>
      <c r="W1" s="7"/>
      <c r="Y1" s="7"/>
      <c r="Z1" s="7"/>
      <c r="AP1" s="10"/>
      <c r="AQ1" s="10"/>
      <c r="AR1" s="10"/>
      <c r="AS1" s="10"/>
      <c r="AV1" s="11"/>
      <c r="AW1" s="11"/>
      <c r="AX1" s="11"/>
      <c r="AY1" s="11"/>
      <c r="AZ1" s="11"/>
      <c r="BA1" s="11"/>
      <c r="BB1" s="11"/>
      <c r="BC1" s="11"/>
      <c r="BD1" s="11"/>
      <c r="BE1" s="11"/>
      <c r="BG1" s="11"/>
      <c r="BH1" s="11"/>
      <c r="BI1" s="11"/>
      <c r="BJ1" s="11"/>
      <c r="BK1" s="11"/>
      <c r="BL1" s="11"/>
      <c r="BM1" s="11"/>
      <c r="BN1" s="11"/>
      <c r="BO1" s="11"/>
      <c r="BP1" s="11"/>
      <c r="BQ1" s="11"/>
      <c r="BS1" s="11"/>
      <c r="BT1" s="11"/>
      <c r="BU1" s="11"/>
      <c r="BV1" s="11"/>
      <c r="BW1" s="11"/>
      <c r="BX1" s="11"/>
      <c r="BY1" s="11"/>
      <c r="BZ1" s="11"/>
      <c r="CA1" s="11"/>
      <c r="CB1" s="11"/>
      <c r="CC1" s="11"/>
    </row>
    <row r="2" spans="1:81">
      <c r="A2" s="106" t="str">
        <f ca="1">uxb_globals!B5</f>
        <v>Peru</v>
      </c>
      <c r="B2" s="106"/>
    </row>
    <row r="7" spans="1:81">
      <c r="M7" s="150" t="s">
        <v>373</v>
      </c>
      <c r="N7" s="151"/>
      <c r="O7" s="151"/>
      <c r="P7" s="152">
        <f ca="1">uxb_correl!C19</f>
        <v>0.66415951842498366</v>
      </c>
    </row>
    <row r="8" spans="1:81">
      <c r="M8" s="151"/>
      <c r="N8" s="151"/>
      <c r="O8" s="188" t="s">
        <v>168</v>
      </c>
      <c r="P8" s="188" t="s">
        <v>169</v>
      </c>
    </row>
    <row r="9" spans="1:81" ht="14.25" customHeight="1">
      <c r="M9" s="153">
        <v>1</v>
      </c>
      <c r="N9" s="154" t="str">
        <f ca="1">uxb_correl!C24</f>
        <v>Nicaragua</v>
      </c>
      <c r="O9" s="182">
        <f ca="1">uxb_correl!D24</f>
        <v>0.58350000000000002</v>
      </c>
      <c r="P9" s="155">
        <f ca="1">uxb_correl!E24</f>
        <v>58</v>
      </c>
    </row>
    <row r="10" spans="1:81" ht="14.25" customHeight="1">
      <c r="M10" s="153">
        <v>2</v>
      </c>
      <c r="N10" s="154" t="str">
        <f ca="1">uxb_correl!C25</f>
        <v>Bolivia</v>
      </c>
      <c r="O10" s="182">
        <f ca="1">uxb_correl!D25</f>
        <v>0.31559999999999999</v>
      </c>
      <c r="P10" s="155">
        <f ca="1">uxb_correl!E25</f>
        <v>74.388888888888886</v>
      </c>
    </row>
    <row r="11" spans="1:81" ht="14.25" customHeight="1">
      <c r="M11" s="153">
        <v>3</v>
      </c>
      <c r="N11" s="154" t="str">
        <f ca="1">uxb_correl!C26</f>
        <v>Ecuador</v>
      </c>
      <c r="O11" s="182">
        <f ca="1">uxb_correl!D26</f>
        <v>0.26900000000000002</v>
      </c>
      <c r="P11" s="155">
        <f ca="1">uxb_correl!E26</f>
        <v>69.666666666666671</v>
      </c>
    </row>
    <row r="12" spans="1:81" ht="14.25" customHeight="1">
      <c r="M12" s="153">
        <v>4</v>
      </c>
      <c r="N12" s="154" t="str">
        <f ca="1">uxb_correl!C27</f>
        <v>Peru</v>
      </c>
      <c r="O12" s="182">
        <f ca="1">uxb_correl!D27</f>
        <v>0.23519999999999999</v>
      </c>
      <c r="P12" s="155">
        <f ca="1">uxb_correl!E27</f>
        <v>76.608333333333334</v>
      </c>
    </row>
    <row r="13" spans="1:81" ht="14.25" customHeight="1">
      <c r="M13" s="153">
        <v>5</v>
      </c>
      <c r="N13" s="154" t="str">
        <f ca="1">uxb_correl!C28</f>
        <v>Guatemala</v>
      </c>
      <c r="O13" s="182">
        <f ca="1">uxb_correl!D28</f>
        <v>0.22700000000000001</v>
      </c>
      <c r="P13" s="155">
        <f ca="1">uxb_correl!E28</f>
        <v>54</v>
      </c>
    </row>
    <row r="14" spans="1:81" ht="14.25" customHeight="1">
      <c r="M14" s="153">
        <v>6</v>
      </c>
      <c r="N14" s="154" t="str">
        <f ca="1">uxb_correl!C29</f>
        <v>Chile</v>
      </c>
      <c r="O14" s="182">
        <f ca="1">uxb_correl!D29</f>
        <v>0.19900000000000001</v>
      </c>
      <c r="P14" s="155">
        <f ca="1">uxb_correl!E29</f>
        <v>43.166666666666671</v>
      </c>
    </row>
    <row r="15" spans="1:81" ht="14.25" customHeight="1">
      <c r="M15" s="153">
        <v>7</v>
      </c>
      <c r="N15" s="154" t="str">
        <f ca="1">uxb_correl!C30</f>
        <v>El Salvador</v>
      </c>
      <c r="O15" s="182">
        <f ca="1">uxb_correl!D30</f>
        <v>0.16200000000000001</v>
      </c>
      <c r="P15" s="155">
        <f ca="1">uxb_correl!E30</f>
        <v>58.999999999999993</v>
      </c>
    </row>
    <row r="16" spans="1:81" ht="14.25" customHeight="1">
      <c r="M16" s="153">
        <v>8</v>
      </c>
      <c r="N16" s="154" t="str">
        <f ca="1">uxb_correl!C31</f>
        <v>Mexico</v>
      </c>
      <c r="O16" s="182">
        <f ca="1">uxb_correl!D31</f>
        <v>0.1172</v>
      </c>
      <c r="P16" s="155">
        <f ca="1">uxb_correl!E31</f>
        <v>47.5</v>
      </c>
    </row>
    <row r="17" spans="13:16" ht="14.25" customHeight="1">
      <c r="M17" s="153">
        <v>9</v>
      </c>
      <c r="N17" s="154" t="str">
        <f ca="1">uxb_correl!C32</f>
        <v>Dominican Rep</v>
      </c>
      <c r="O17" s="182">
        <f ca="1">uxb_correl!D32</f>
        <v>0.1038</v>
      </c>
      <c r="P17" s="155">
        <f ca="1">uxb_correl!E32</f>
        <v>48</v>
      </c>
    </row>
    <row r="18" spans="13:16" ht="14.25" customHeight="1">
      <c r="M18" s="153">
        <v>10</v>
      </c>
      <c r="N18" s="154" t="str">
        <f ca="1">uxb_correl!C33</f>
        <v>Colombia</v>
      </c>
      <c r="O18" s="182">
        <f ca="1">uxb_correl!D33</f>
        <v>7.17E-2</v>
      </c>
      <c r="P18" s="155">
        <f ca="1">uxb_correl!E33</f>
        <v>58.611111111111114</v>
      </c>
    </row>
    <row r="19" spans="13:16" ht="14.25" customHeight="1">
      <c r="M19" s="153">
        <v>11</v>
      </c>
      <c r="N19" s="154" t="str">
        <f ca="1">uxb_correl!C34</f>
        <v>Paraguay</v>
      </c>
      <c r="O19" s="182">
        <f ca="1">uxb_correl!D34</f>
        <v>6.1800000000000001E-2</v>
      </c>
      <c r="P19" s="155">
        <f ca="1">uxb_correl!E34</f>
        <v>49.608333333333327</v>
      </c>
    </row>
    <row r="20" spans="13:16" ht="14.25" customHeight="1">
      <c r="M20" s="153">
        <v>12</v>
      </c>
      <c r="N20" s="154" t="str">
        <f ca="1">uxb_correl!C35</f>
        <v>Uruguay</v>
      </c>
      <c r="O20" s="182">
        <f ca="1">uxb_correl!D35</f>
        <v>1.8499999999999999E-2</v>
      </c>
      <c r="P20" s="155">
        <f ca="1">uxb_correl!E35</f>
        <v>28.333333333333329</v>
      </c>
    </row>
    <row r="21" spans="13:16" ht="14.25" customHeight="1">
      <c r="M21" s="153">
        <v>13</v>
      </c>
      <c r="N21" s="154" t="str">
        <f ca="1">uxb_correl!C36</f>
        <v>Venezuela</v>
      </c>
      <c r="O21" s="182">
        <f ca="1">uxb_correl!D36</f>
        <v>1.38E-2</v>
      </c>
      <c r="P21" s="155">
        <f ca="1">uxb_correl!E36</f>
        <v>24.941666666666663</v>
      </c>
    </row>
    <row r="22" spans="13:16" ht="14.25" customHeight="1">
      <c r="M22" s="153">
        <v>14</v>
      </c>
      <c r="N22" s="154" t="str">
        <f ca="1">uxb_correl!C37</f>
        <v>Brazil</v>
      </c>
      <c r="O22" s="182">
        <f ca="1">uxb_correl!D37</f>
        <v>1.29E-2</v>
      </c>
      <c r="P22" s="155">
        <f ca="1">uxb_correl!E37</f>
        <v>41.555555555555557</v>
      </c>
    </row>
    <row r="23" spans="13:16" ht="14.25" customHeight="1">
      <c r="M23" s="153">
        <v>15</v>
      </c>
      <c r="N23" s="154" t="str">
        <f ca="1">uxb_correl!C38</f>
        <v>Argentina</v>
      </c>
      <c r="O23" s="182">
        <f ca="1">uxb_correl!D38</f>
        <v>2.8E-3</v>
      </c>
      <c r="P23" s="155">
        <f ca="1">uxb_correl!E38</f>
        <v>28.5</v>
      </c>
    </row>
    <row r="24" spans="13:16" ht="14.25" customHeight="1">
      <c r="M24" s="153">
        <v>16</v>
      </c>
      <c r="N24" s="154" t="str">
        <f ca="1">uxb_correl!C39</f>
        <v>Costa Rica</v>
      </c>
      <c r="O24" s="202">
        <f ca="1">uxb_correl!D39</f>
        <v>0</v>
      </c>
      <c r="P24" s="155">
        <f ca="1">uxb_correl!E39</f>
        <v>40.274999999999991</v>
      </c>
    </row>
    <row r="25" spans="13:16">
      <c r="M25" s="153">
        <v>17</v>
      </c>
      <c r="N25" s="154" t="str">
        <f ca="1">uxb_correl!C40</f>
        <v>Haiti</v>
      </c>
      <c r="O25" s="202">
        <f ca="1">uxb_correl!D40</f>
        <v>0</v>
      </c>
      <c r="P25" s="155">
        <f ca="1">uxb_correl!E40</f>
        <v>30.166666666666664</v>
      </c>
    </row>
    <row r="26" spans="13:16">
      <c r="M26" s="153">
        <v>18</v>
      </c>
      <c r="N26" s="154" t="str">
        <f ca="1">uxb_correl!C41</f>
        <v>Honduras</v>
      </c>
      <c r="O26" s="202">
        <f ca="1">uxb_correl!D41</f>
        <v>0</v>
      </c>
      <c r="P26" s="155">
        <f ca="1">uxb_correl!E41</f>
        <v>47.108333333333334</v>
      </c>
    </row>
    <row r="27" spans="13:16">
      <c r="M27" s="153">
        <v>19</v>
      </c>
      <c r="N27" s="154" t="str">
        <f ca="1">uxb_correl!C42</f>
        <v>Jamaica</v>
      </c>
      <c r="O27" s="202">
        <f ca="1">uxb_correl!D42</f>
        <v>0</v>
      </c>
      <c r="P27" s="155">
        <f ca="1">uxb_correl!E42</f>
        <v>21.166666666666664</v>
      </c>
    </row>
    <row r="28" spans="13:16">
      <c r="M28" s="153">
        <v>20</v>
      </c>
      <c r="N28" s="154" t="str">
        <f ca="1">uxb_correl!C43</f>
        <v>Panama</v>
      </c>
      <c r="O28" s="202">
        <f ca="1">uxb_correl!D43</f>
        <v>0</v>
      </c>
      <c r="P28" s="155">
        <f ca="1">uxb_correl!E43</f>
        <v>47.5</v>
      </c>
    </row>
  </sheetData>
  <sheetProtection sheet="1" objects="1" scenarios="1"/>
  <phoneticPr fontId="2" type="noConversion"/>
  <conditionalFormatting sqref="M9:M28">
    <cfRule type="expression" dxfId="23" priority="1" stopIfTrue="1">
      <formula>$A$2=N9</formula>
    </cfRule>
  </conditionalFormatting>
  <conditionalFormatting sqref="O9:O28">
    <cfRule type="expression" dxfId="22" priority="2" stopIfTrue="1">
      <formula>$A$2=N9</formula>
    </cfRule>
  </conditionalFormatting>
  <conditionalFormatting sqref="P7 P9:P28">
    <cfRule type="expression" dxfId="21" priority="3" stopIfTrue="1">
      <formula>$A$2=N7</formula>
    </cfRule>
  </conditionalFormatting>
  <conditionalFormatting sqref="N9:N28">
    <cfRule type="expression" dxfId="20" priority="4" stopIfTrue="1">
      <formula>$A$2=N9</formula>
    </cfRule>
  </conditionalFormatting>
  <pageMargins left="0.74803149606299213" right="0.74803149606299213" top="0.78740157480314965" bottom="0.78740157480314965" header="0.51181102362204722" footer="0.51181102362204722"/>
  <pageSetup scale="83"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codeName="Sheet15"/>
  <dimension ref="A2:J24"/>
  <sheetViews>
    <sheetView workbookViewId="0">
      <selection activeCell="A2" sqref="A2:A8"/>
    </sheetView>
  </sheetViews>
  <sheetFormatPr defaultRowHeight="12.75"/>
  <cols>
    <col min="3" max="3" width="48.140625" bestFit="1" customWidth="1"/>
  </cols>
  <sheetData>
    <row r="2" spans="1:10">
      <c r="A2" t="s">
        <v>140</v>
      </c>
      <c r="D2" t="str">
        <f>A2</f>
        <v>Study specific (default)</v>
      </c>
      <c r="E2" t="str">
        <f>A3</f>
        <v>Neutral (each indicator equal)</v>
      </c>
      <c r="F2" t="str">
        <f>A4</f>
        <v>Preferred</v>
      </c>
      <c r="G2" t="str">
        <f>A5</f>
        <v>User defined#2</v>
      </c>
      <c r="H2" t="str">
        <f>A6</f>
        <v>User defined#3</v>
      </c>
      <c r="I2" t="str">
        <f>A7</f>
        <v>User defined#4</v>
      </c>
      <c r="J2" t="str">
        <f>A8</f>
        <v>User defined#5</v>
      </c>
    </row>
    <row r="3" spans="1:10">
      <c r="A3" t="s">
        <v>377</v>
      </c>
      <c r="C3" s="26" t="s">
        <v>409</v>
      </c>
      <c r="D3">
        <v>4</v>
      </c>
      <c r="E3">
        <v>4</v>
      </c>
      <c r="F3">
        <v>4</v>
      </c>
      <c r="G3">
        <v>1</v>
      </c>
      <c r="H3">
        <v>1</v>
      </c>
      <c r="I3">
        <v>1</v>
      </c>
      <c r="J3">
        <v>4</v>
      </c>
    </row>
    <row r="4" spans="1:10">
      <c r="A4" t="s">
        <v>141</v>
      </c>
      <c r="C4" s="26" t="s">
        <v>414</v>
      </c>
      <c r="D4">
        <v>2</v>
      </c>
      <c r="E4">
        <v>6</v>
      </c>
      <c r="F4">
        <v>2</v>
      </c>
      <c r="G4">
        <v>1</v>
      </c>
      <c r="H4">
        <v>1</v>
      </c>
      <c r="I4">
        <v>1</v>
      </c>
      <c r="J4">
        <v>6</v>
      </c>
    </row>
    <row r="5" spans="1:10">
      <c r="A5" t="s">
        <v>526</v>
      </c>
      <c r="C5" s="26" t="s">
        <v>421</v>
      </c>
      <c r="D5">
        <v>4</v>
      </c>
      <c r="E5">
        <v>3</v>
      </c>
      <c r="F5">
        <v>4</v>
      </c>
      <c r="G5">
        <v>1</v>
      </c>
      <c r="H5">
        <v>1</v>
      </c>
      <c r="I5">
        <v>1</v>
      </c>
      <c r="J5">
        <v>3</v>
      </c>
    </row>
    <row r="6" spans="1:10">
      <c r="A6" t="s">
        <v>527</v>
      </c>
    </row>
    <row r="7" spans="1:10">
      <c r="A7" t="s">
        <v>528</v>
      </c>
    </row>
    <row r="8" spans="1:10">
      <c r="A8" t="s">
        <v>529</v>
      </c>
    </row>
    <row r="9" spans="1:10">
      <c r="C9" s="30" t="s">
        <v>409</v>
      </c>
    </row>
    <row r="10" spans="1:10">
      <c r="C10" s="34" t="s">
        <v>410</v>
      </c>
      <c r="D10">
        <v>1</v>
      </c>
      <c r="E10">
        <v>1</v>
      </c>
      <c r="F10">
        <v>1</v>
      </c>
      <c r="G10">
        <v>1</v>
      </c>
      <c r="H10">
        <v>1</v>
      </c>
      <c r="I10">
        <v>1</v>
      </c>
      <c r="J10">
        <v>1</v>
      </c>
    </row>
    <row r="11" spans="1:10">
      <c r="C11" s="34" t="s">
        <v>411</v>
      </c>
      <c r="D11">
        <v>1</v>
      </c>
      <c r="E11">
        <v>1</v>
      </c>
      <c r="F11">
        <v>1</v>
      </c>
      <c r="G11">
        <v>1</v>
      </c>
      <c r="H11">
        <v>1</v>
      </c>
      <c r="I11">
        <v>1</v>
      </c>
      <c r="J11">
        <v>1</v>
      </c>
    </row>
    <row r="12" spans="1:10">
      <c r="C12" s="34" t="s">
        <v>412</v>
      </c>
      <c r="D12">
        <v>1</v>
      </c>
      <c r="E12">
        <v>1</v>
      </c>
      <c r="F12">
        <v>1</v>
      </c>
      <c r="G12">
        <v>1</v>
      </c>
      <c r="H12">
        <v>1</v>
      </c>
      <c r="I12">
        <v>1</v>
      </c>
      <c r="J12">
        <v>1</v>
      </c>
    </row>
    <row r="13" spans="1:10">
      <c r="C13" s="34" t="s">
        <v>413</v>
      </c>
      <c r="D13">
        <v>1</v>
      </c>
      <c r="E13">
        <v>1</v>
      </c>
      <c r="F13">
        <v>1</v>
      </c>
      <c r="G13">
        <v>1</v>
      </c>
      <c r="H13">
        <v>1</v>
      </c>
      <c r="I13">
        <v>1</v>
      </c>
      <c r="J13">
        <v>1</v>
      </c>
    </row>
    <row r="14" spans="1:10">
      <c r="C14" s="30" t="s">
        <v>414</v>
      </c>
    </row>
    <row r="15" spans="1:10">
      <c r="C15" s="34" t="s">
        <v>415</v>
      </c>
      <c r="D15">
        <v>1</v>
      </c>
      <c r="E15">
        <v>1</v>
      </c>
      <c r="F15">
        <v>1</v>
      </c>
      <c r="G15">
        <v>1</v>
      </c>
      <c r="H15">
        <v>1</v>
      </c>
      <c r="I15">
        <v>1</v>
      </c>
      <c r="J15">
        <v>1</v>
      </c>
    </row>
    <row r="16" spans="1:10">
      <c r="C16" s="34" t="s">
        <v>416</v>
      </c>
      <c r="D16">
        <v>1</v>
      </c>
      <c r="E16">
        <v>1</v>
      </c>
      <c r="F16">
        <v>1</v>
      </c>
      <c r="G16">
        <v>1</v>
      </c>
      <c r="H16">
        <v>1</v>
      </c>
      <c r="I16">
        <v>1</v>
      </c>
      <c r="J16">
        <v>1</v>
      </c>
    </row>
    <row r="17" spans="3:10">
      <c r="C17" s="34" t="s">
        <v>417</v>
      </c>
      <c r="D17">
        <v>1</v>
      </c>
      <c r="E17">
        <v>1</v>
      </c>
      <c r="F17">
        <v>1</v>
      </c>
      <c r="G17">
        <v>1</v>
      </c>
      <c r="H17">
        <v>1</v>
      </c>
      <c r="I17">
        <v>1</v>
      </c>
      <c r="J17">
        <v>1</v>
      </c>
    </row>
    <row r="18" spans="3:10">
      <c r="C18" s="34" t="s">
        <v>418</v>
      </c>
      <c r="D18">
        <v>1</v>
      </c>
      <c r="E18">
        <v>1</v>
      </c>
      <c r="F18">
        <v>1</v>
      </c>
      <c r="G18">
        <v>1</v>
      </c>
      <c r="H18">
        <v>1</v>
      </c>
      <c r="I18">
        <v>1</v>
      </c>
      <c r="J18">
        <v>1</v>
      </c>
    </row>
    <row r="19" spans="3:10">
      <c r="C19" s="34" t="s">
        <v>419</v>
      </c>
      <c r="D19">
        <v>1</v>
      </c>
      <c r="E19">
        <v>1</v>
      </c>
      <c r="F19">
        <v>1</v>
      </c>
      <c r="G19">
        <v>1</v>
      </c>
      <c r="H19">
        <v>1</v>
      </c>
      <c r="I19">
        <v>1</v>
      </c>
      <c r="J19">
        <v>1</v>
      </c>
    </row>
    <row r="20" spans="3:10">
      <c r="C20" s="34" t="s">
        <v>420</v>
      </c>
      <c r="D20">
        <v>1</v>
      </c>
      <c r="E20">
        <v>1</v>
      </c>
      <c r="F20">
        <v>1</v>
      </c>
      <c r="G20">
        <v>1</v>
      </c>
      <c r="H20">
        <v>1</v>
      </c>
      <c r="I20">
        <v>1</v>
      </c>
      <c r="J20">
        <v>1</v>
      </c>
    </row>
    <row r="21" spans="3:10">
      <c r="C21" s="33" t="s">
        <v>421</v>
      </c>
    </row>
    <row r="22" spans="3:10">
      <c r="C22" s="34" t="s">
        <v>422</v>
      </c>
      <c r="D22">
        <v>1</v>
      </c>
      <c r="E22">
        <v>1</v>
      </c>
      <c r="F22">
        <v>1</v>
      </c>
      <c r="G22">
        <v>1</v>
      </c>
      <c r="H22">
        <v>1</v>
      </c>
      <c r="I22">
        <v>1</v>
      </c>
      <c r="J22">
        <v>1</v>
      </c>
    </row>
    <row r="23" spans="3:10">
      <c r="C23" s="34" t="s">
        <v>423</v>
      </c>
      <c r="D23">
        <v>1</v>
      </c>
      <c r="E23">
        <v>1</v>
      </c>
      <c r="F23">
        <v>1</v>
      </c>
      <c r="G23">
        <v>1</v>
      </c>
      <c r="H23">
        <v>1</v>
      </c>
      <c r="I23">
        <v>1</v>
      </c>
      <c r="J23">
        <v>1</v>
      </c>
    </row>
    <row r="24" spans="3:10">
      <c r="C24" s="34" t="s">
        <v>424</v>
      </c>
      <c r="D24">
        <v>1</v>
      </c>
      <c r="E24">
        <v>1</v>
      </c>
      <c r="F24">
        <v>1</v>
      </c>
      <c r="G24">
        <v>1</v>
      </c>
      <c r="H24">
        <v>1</v>
      </c>
      <c r="I24">
        <v>1</v>
      </c>
      <c r="J24">
        <v>1</v>
      </c>
    </row>
  </sheetData>
  <phoneticPr fontId="2" type="noConversion"/>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sheetPr codeName="Sheet9">
    <pageSetUpPr fitToPage="1"/>
  </sheetPr>
  <dimension ref="A1:CB42"/>
  <sheetViews>
    <sheetView showGridLines="0" showRowColHeaders="0" workbookViewId="0">
      <selection activeCell="F28" sqref="F28"/>
    </sheetView>
  </sheetViews>
  <sheetFormatPr defaultRowHeight="12.75"/>
  <cols>
    <col min="1" max="1" width="30" customWidth="1"/>
    <col min="2" max="2" width="2.85546875" customWidth="1"/>
    <col min="3" max="3" width="4.140625" customWidth="1"/>
    <col min="4" max="4" width="14.28515625" bestFit="1" customWidth="1"/>
    <col min="5" max="5" width="2.28515625" customWidth="1"/>
    <col min="6" max="6" width="17.85546875" customWidth="1"/>
    <col min="7" max="7" width="6.85546875" customWidth="1"/>
    <col min="8" max="8" width="8.42578125" customWidth="1"/>
    <col min="9" max="9" width="3.85546875" hidden="1" customWidth="1"/>
    <col min="10" max="10" width="3.85546875" customWidth="1"/>
    <col min="11" max="11" width="0.85546875" customWidth="1"/>
    <col min="12" max="12" width="43.28515625" customWidth="1"/>
    <col min="13" max="13" width="0.7109375" customWidth="1"/>
  </cols>
  <sheetData>
    <row r="1" spans="1:80" s="9" customFormat="1" ht="21" customHeight="1">
      <c r="A1" s="21" t="s">
        <v>475</v>
      </c>
      <c r="B1" s="21"/>
      <c r="C1" s="7"/>
      <c r="D1" s="7"/>
      <c r="E1" s="7"/>
      <c r="F1" s="7"/>
      <c r="G1" s="7"/>
      <c r="H1" s="7"/>
      <c r="I1" s="7"/>
      <c r="J1" s="7"/>
      <c r="K1" s="7"/>
      <c r="L1" s="7"/>
      <c r="M1" s="7"/>
      <c r="N1" s="7"/>
      <c r="O1" s="7"/>
      <c r="P1" s="7"/>
      <c r="Q1" s="7"/>
      <c r="R1" s="7"/>
      <c r="S1" s="7"/>
      <c r="T1" s="7"/>
      <c r="U1" s="7"/>
      <c r="V1" s="7"/>
      <c r="W1" s="7"/>
      <c r="X1" s="7"/>
      <c r="Y1" s="7"/>
      <c r="AO1" s="10"/>
      <c r="AP1" s="10"/>
      <c r="AQ1" s="10"/>
      <c r="AR1" s="10"/>
      <c r="AU1" s="11"/>
      <c r="AV1" s="11"/>
      <c r="AW1" s="11"/>
      <c r="AX1" s="11"/>
      <c r="AY1" s="11"/>
      <c r="AZ1" s="11"/>
      <c r="BA1" s="11"/>
      <c r="BB1" s="11"/>
      <c r="BC1" s="11"/>
      <c r="BD1" s="11"/>
      <c r="BF1" s="11"/>
      <c r="BG1" s="11"/>
      <c r="BH1" s="11"/>
      <c r="BI1" s="11"/>
      <c r="BJ1" s="11"/>
      <c r="BK1" s="11"/>
      <c r="BL1" s="11"/>
      <c r="BM1" s="11"/>
      <c r="BN1" s="11"/>
      <c r="BO1" s="11"/>
      <c r="BP1" s="11"/>
      <c r="BR1" s="11"/>
      <c r="BS1" s="11"/>
      <c r="BT1" s="11"/>
      <c r="BU1" s="11"/>
      <c r="BV1" s="11"/>
      <c r="BW1" s="11"/>
      <c r="BX1" s="11"/>
      <c r="BY1" s="11"/>
      <c r="BZ1" s="11"/>
      <c r="CA1" s="11"/>
      <c r="CB1" s="11"/>
    </row>
    <row r="2" spans="1:80" ht="5.25" customHeight="1">
      <c r="A2" s="144" t="str">
        <f ca="1">uxb_globals!B5</f>
        <v>Peru</v>
      </c>
      <c r="B2" s="142"/>
    </row>
    <row r="3" spans="1:80" ht="15">
      <c r="A3" s="137"/>
      <c r="B3" s="95"/>
      <c r="C3" s="80" t="str">
        <f ca="1">uxb_globals!B9</f>
        <v>Formation and operation of regulated/supervised specialised MFIs</v>
      </c>
    </row>
    <row r="4" spans="1:80">
      <c r="A4" s="137"/>
      <c r="B4" s="95"/>
      <c r="C4" s="81" t="str">
        <f ca="1">uxb_globals!D10</f>
        <v>Scored 0-4 where 4=best</v>
      </c>
      <c r="M4" s="86"/>
      <c r="N4" s="86"/>
      <c r="O4" s="86"/>
      <c r="P4" s="86"/>
      <c r="Q4" s="86"/>
      <c r="R4" s="86"/>
      <c r="S4" s="86"/>
      <c r="T4" s="86"/>
      <c r="U4" s="86"/>
      <c r="V4" s="86"/>
      <c r="W4" s="86"/>
      <c r="X4" s="86"/>
      <c r="Y4" s="86"/>
      <c r="Z4" s="86"/>
    </row>
    <row r="5" spans="1:80" ht="10.5" customHeight="1">
      <c r="A5" s="137"/>
      <c r="B5" s="95"/>
      <c r="C5" s="85"/>
      <c r="D5" s="86"/>
      <c r="E5" s="86"/>
      <c r="F5" s="86"/>
      <c r="G5" s="86"/>
      <c r="H5" s="86"/>
      <c r="M5" s="86"/>
      <c r="N5" s="86"/>
      <c r="O5" s="86"/>
      <c r="P5" s="86"/>
      <c r="Q5" s="86"/>
      <c r="R5" s="86"/>
      <c r="S5" s="86"/>
      <c r="T5" s="86"/>
      <c r="U5" s="86"/>
      <c r="V5" s="86"/>
      <c r="W5" s="86"/>
      <c r="X5" s="86"/>
      <c r="Y5" s="86"/>
      <c r="Z5" s="86"/>
    </row>
    <row r="6" spans="1:80">
      <c r="A6" s="137"/>
      <c r="B6" s="95"/>
      <c r="C6" s="172" t="s">
        <v>476</v>
      </c>
      <c r="D6" s="172" t="s">
        <v>458</v>
      </c>
      <c r="E6" s="172"/>
      <c r="F6" s="172"/>
      <c r="G6" s="172" t="str">
        <f ca="1">CONCATENATE("Score / ",uxb_globals!B10)</f>
        <v>Score / 4</v>
      </c>
      <c r="H6" s="172" t="s">
        <v>164</v>
      </c>
      <c r="L6" s="136"/>
      <c r="M6" s="84"/>
      <c r="N6" s="84"/>
      <c r="O6" s="84"/>
      <c r="P6" s="84"/>
      <c r="Q6" s="86"/>
      <c r="R6" s="86"/>
      <c r="S6" s="86"/>
      <c r="T6" s="86"/>
      <c r="U6" s="86"/>
      <c r="V6" s="86"/>
      <c r="W6" s="86"/>
      <c r="X6" s="86"/>
      <c r="Y6" s="86"/>
      <c r="Z6" s="86"/>
    </row>
    <row r="7" spans="1:80" ht="12.75" customHeight="1">
      <c r="A7" s="137"/>
      <c r="B7" s="95"/>
      <c r="C7" s="207">
        <f ca="1">uxb_ranking!BH8</f>
        <v>1</v>
      </c>
      <c r="D7" s="170" t="str">
        <f ca="1">uxb_ranking!AM8</f>
        <v>Peru</v>
      </c>
      <c r="E7" s="75"/>
      <c r="F7" s="76" t="str">
        <f ca="1">IF(ISNUMBER(G7),REPT("|",G7*(60/uxb_globals!$B$10)),"")</f>
        <v>||||||||||||||||||||||||||||||||||||||||||||||||||||||||||||</v>
      </c>
      <c r="G7" s="173">
        <f ca="1">uxb_ranking!AT8</f>
        <v>4</v>
      </c>
      <c r="H7" s="204" t="str">
        <f ca="1">uxb_ranking!CQ8</f>
        <v>+1.0</v>
      </c>
      <c r="I7">
        <f ca="1">uxb_ranking!CX8</f>
        <v>1</v>
      </c>
      <c r="K7" s="138"/>
      <c r="L7" s="223" t="str">
        <f ca="1">uxb_globals!B11</f>
        <v>“Are regulations conducive to the formation and operation of “specialised MFIs,” such as greenfield MFIs and upscaling NGOs transforming themselves into MFIs? For example, are specialised MFIs free to set market interest rates, can they avoid excessive documentation and capital-adequacy ratios, and are they free from unfair competition from subsidised public programmes and institutions?”</v>
      </c>
      <c r="M7" s="145"/>
      <c r="N7" s="86"/>
      <c r="O7" s="86"/>
      <c r="P7" s="86"/>
      <c r="Q7" s="86"/>
      <c r="R7" s="86"/>
      <c r="S7" s="86"/>
      <c r="T7" s="86"/>
      <c r="U7" s="86"/>
      <c r="V7" s="86"/>
      <c r="W7" s="86"/>
      <c r="X7" s="86"/>
      <c r="Y7" s="86"/>
      <c r="Z7" s="86"/>
    </row>
    <row r="8" spans="1:80" ht="12.75" customHeight="1">
      <c r="A8" s="137"/>
      <c r="B8" s="95"/>
      <c r="C8" s="77" t="str">
        <f ca="1">uxb_ranking!BH9</f>
        <v>=2</v>
      </c>
      <c r="D8" s="171" t="str">
        <f ca="1">uxb_ranking!AM9</f>
        <v>Bolivia</v>
      </c>
      <c r="E8" s="78"/>
      <c r="F8" s="107" t="str">
        <f ca="1">IF(ISNUMBER(G8),REPT("|",G8*(60/uxb_globals!$B$10)),"")</f>
        <v>|||||||||||||||||||||||||||||||||||||||||||||</v>
      </c>
      <c r="G8" s="174">
        <f ca="1">uxb_ranking!AT9</f>
        <v>3</v>
      </c>
      <c r="H8" s="205" t="str">
        <f ca="1">uxb_ranking!CQ9</f>
        <v>-1.0</v>
      </c>
      <c r="I8">
        <f ca="1">uxb_ranking!CX9</f>
        <v>-1</v>
      </c>
      <c r="K8" s="139"/>
      <c r="L8" s="224"/>
      <c r="M8" s="146"/>
      <c r="N8" s="86"/>
      <c r="O8" s="86"/>
      <c r="P8" s="86"/>
      <c r="Q8" s="86"/>
      <c r="R8" s="86"/>
      <c r="S8" s="86"/>
      <c r="T8" s="86"/>
      <c r="U8" s="86"/>
      <c r="V8" s="86"/>
      <c r="W8" s="86"/>
      <c r="X8" s="86"/>
      <c r="Y8" s="86"/>
      <c r="Z8" s="86"/>
    </row>
    <row r="9" spans="1:80" ht="12.75" customHeight="1">
      <c r="A9" s="137"/>
      <c r="B9" s="95"/>
      <c r="C9" s="74" t="str">
        <f ca="1">uxb_ranking!BH10</f>
        <v>=2</v>
      </c>
      <c r="D9" s="170" t="str">
        <f ca="1">uxb_ranking!AM10</f>
        <v>Ecuador</v>
      </c>
      <c r="E9" s="75"/>
      <c r="F9" s="76" t="str">
        <f ca="1">IF(ISNUMBER(G9),REPT("|",G9*(60/uxb_globals!$B$10)),"")</f>
        <v>|||||||||||||||||||||||||||||||||||||||||||||</v>
      </c>
      <c r="G9" s="173">
        <f ca="1">uxb_ranking!AT10</f>
        <v>3</v>
      </c>
      <c r="H9" s="204" t="str">
        <f ca="1">uxb_ranking!CQ10</f>
        <v>-</v>
      </c>
      <c r="I9">
        <f ca="1">uxb_ranking!CX10</f>
        <v>0</v>
      </c>
      <c r="K9" s="139"/>
      <c r="L9" s="224"/>
      <c r="M9" s="146"/>
      <c r="N9" s="86"/>
      <c r="O9" s="86"/>
      <c r="P9" s="86"/>
      <c r="Q9" s="86"/>
      <c r="R9" s="86"/>
      <c r="S9" s="86"/>
      <c r="T9" s="86"/>
      <c r="U9" s="86"/>
      <c r="V9" s="86"/>
      <c r="W9" s="86"/>
      <c r="X9" s="86"/>
      <c r="Y9" s="86"/>
      <c r="Z9" s="86"/>
    </row>
    <row r="10" spans="1:80" ht="12.75" customHeight="1">
      <c r="A10" s="137"/>
      <c r="B10" s="95"/>
      <c r="C10" s="77" t="str">
        <f ca="1">uxb_ranking!BH11</f>
        <v>=2</v>
      </c>
      <c r="D10" s="171" t="str">
        <f ca="1">uxb_ranking!AM11</f>
        <v>Mexico</v>
      </c>
      <c r="E10" s="78"/>
      <c r="F10" s="107" t="str">
        <f ca="1">IF(ISNUMBER(G10),REPT("|",G10*(60/uxb_globals!$B$10)),"")</f>
        <v>|||||||||||||||||||||||||||||||||||||||||||||</v>
      </c>
      <c r="G10" s="174">
        <f ca="1">uxb_ranking!AT11</f>
        <v>3</v>
      </c>
      <c r="H10" s="205" t="str">
        <f ca="1">uxb_ranking!CQ11</f>
        <v>+1.0</v>
      </c>
      <c r="I10">
        <f ca="1">uxb_ranking!CX11</f>
        <v>1</v>
      </c>
      <c r="K10" s="139"/>
      <c r="L10" s="224"/>
      <c r="M10" s="147"/>
      <c r="N10" s="84"/>
      <c r="O10" s="84"/>
      <c r="P10" s="84"/>
      <c r="Q10" s="86"/>
      <c r="R10" s="86"/>
      <c r="S10" s="86"/>
      <c r="T10" s="86"/>
      <c r="U10" s="86"/>
      <c r="V10" s="86"/>
      <c r="W10" s="86"/>
      <c r="X10" s="86"/>
      <c r="Y10" s="86"/>
      <c r="Z10" s="86"/>
    </row>
    <row r="11" spans="1:80" ht="12.75" customHeight="1">
      <c r="A11" s="137"/>
      <c r="B11" s="95"/>
      <c r="C11" s="74" t="str">
        <f ca="1">uxb_ranking!BH12</f>
        <v>=5</v>
      </c>
      <c r="D11" s="170" t="str">
        <f ca="1">uxb_ranking!AM12</f>
        <v>Brazil</v>
      </c>
      <c r="E11" s="75"/>
      <c r="F11" s="76" t="str">
        <f ca="1">IF(ISNUMBER(G11),REPT("|",G11*(60/uxb_globals!$B$10)),"")</f>
        <v>||||||||||||||||||||||||||||||</v>
      </c>
      <c r="G11" s="173">
        <f ca="1">uxb_ranking!AT12</f>
        <v>2</v>
      </c>
      <c r="H11" s="204" t="str">
        <f ca="1">uxb_ranking!CQ12</f>
        <v>-</v>
      </c>
      <c r="I11">
        <f ca="1">uxb_ranking!CX12</f>
        <v>0</v>
      </c>
      <c r="K11" s="139"/>
      <c r="L11" s="224"/>
      <c r="M11" s="146"/>
    </row>
    <row r="12" spans="1:80" ht="12.75" customHeight="1">
      <c r="A12" s="137"/>
      <c r="B12" s="95"/>
      <c r="C12" s="77" t="str">
        <f ca="1">uxb_ranking!BH13</f>
        <v>=5</v>
      </c>
      <c r="D12" s="171" t="str">
        <f ca="1">uxb_ranking!AM13</f>
        <v>Colombia</v>
      </c>
      <c r="E12" s="78"/>
      <c r="F12" s="107" t="str">
        <f ca="1">IF(ISNUMBER(G12),REPT("|",G12*(60/uxb_globals!$B$10)),"")</f>
        <v>||||||||||||||||||||||||||||||</v>
      </c>
      <c r="G12" s="174">
        <f ca="1">uxb_ranking!AT13</f>
        <v>2</v>
      </c>
      <c r="H12" s="205" t="str">
        <f ca="1">uxb_ranking!CQ13</f>
        <v>+1.0</v>
      </c>
      <c r="I12">
        <f ca="1">uxb_ranking!CX13</f>
        <v>1</v>
      </c>
      <c r="K12" s="139"/>
      <c r="L12" s="224"/>
      <c r="M12" s="146"/>
    </row>
    <row r="13" spans="1:80">
      <c r="A13" s="137"/>
      <c r="B13" s="95"/>
      <c r="C13" s="74" t="str">
        <f ca="1">uxb_ranking!BH14</f>
        <v>=5</v>
      </c>
      <c r="D13" s="170" t="str">
        <f ca="1">uxb_ranking!AM14</f>
        <v>Dominican Rep</v>
      </c>
      <c r="E13" s="75"/>
      <c r="F13" s="76" t="str">
        <f ca="1">IF(ISNUMBER(G13),REPT("|",G13*(60/uxb_globals!$B$10)),"")</f>
        <v>||||||||||||||||||||||||||||||</v>
      </c>
      <c r="G13" s="173">
        <f ca="1">uxb_ranking!AT14</f>
        <v>2</v>
      </c>
      <c r="H13" s="204" t="str">
        <f ca="1">uxb_ranking!CQ14</f>
        <v>-</v>
      </c>
      <c r="I13">
        <f ca="1">uxb_ranking!CX14</f>
        <v>0</v>
      </c>
      <c r="K13" s="139"/>
      <c r="L13" s="224"/>
      <c r="M13" s="146"/>
    </row>
    <row r="14" spans="1:80">
      <c r="A14" s="137"/>
      <c r="B14" s="95"/>
      <c r="C14" s="77" t="str">
        <f ca="1">uxb_ranking!BH15</f>
        <v>=5</v>
      </c>
      <c r="D14" s="171" t="str">
        <f ca="1">uxb_ranking!AM15</f>
        <v>El Salvador</v>
      </c>
      <c r="E14" s="78"/>
      <c r="F14" s="107" t="str">
        <f ca="1">IF(ISNUMBER(G14),REPT("|",G14*(60/uxb_globals!$B$10)),"")</f>
        <v>||||||||||||||||||||||||||||||</v>
      </c>
      <c r="G14" s="174">
        <f ca="1">uxb_ranking!AT15</f>
        <v>2</v>
      </c>
      <c r="H14" s="205" t="str">
        <f ca="1">uxb_ranking!CQ15</f>
        <v>-1.0</v>
      </c>
      <c r="I14">
        <f ca="1">uxb_ranking!CX15</f>
        <v>-1</v>
      </c>
      <c r="K14" s="139"/>
      <c r="L14" s="224"/>
      <c r="M14" s="146"/>
    </row>
    <row r="15" spans="1:80">
      <c r="A15" s="137"/>
      <c r="B15" s="95"/>
      <c r="C15" s="74" t="str">
        <f ca="1">uxb_ranking!BH16</f>
        <v>=5</v>
      </c>
      <c r="D15" s="170" t="str">
        <f ca="1">uxb_ranking!AM16</f>
        <v>Honduras</v>
      </c>
      <c r="E15" s="75"/>
      <c r="F15" s="76" t="str">
        <f ca="1">IF(ISNUMBER(G15),REPT("|",G15*(60/uxb_globals!$B$10)),"")</f>
        <v>||||||||||||||||||||||||||||||</v>
      </c>
      <c r="G15" s="173">
        <f ca="1">uxb_ranking!AT16</f>
        <v>2</v>
      </c>
      <c r="H15" s="204" t="str">
        <f ca="1">uxb_ranking!CQ16</f>
        <v>new</v>
      </c>
      <c r="I15">
        <f ca="1">uxb_ranking!CX16</f>
        <v>0</v>
      </c>
      <c r="K15" s="140"/>
      <c r="L15" s="218" t="str">
        <f ca="1">uxb_globals!B12</f>
        <v>0=No regulations exist;
1=Regulations exist but multiple obstacles make formation very difficult;
2=Regulations exist though there are significant obstacles;
3=Regulations exist with relatively few obstacles;
4=Regulations facilitate formation</v>
      </c>
      <c r="M15" s="148"/>
    </row>
    <row r="16" spans="1:80">
      <c r="A16" s="137"/>
      <c r="B16" s="95"/>
      <c r="C16" s="77" t="str">
        <f ca="1">uxb_ranking!BH17</f>
        <v>=5</v>
      </c>
      <c r="D16" s="171" t="str">
        <f ca="1">uxb_ranking!AM17</f>
        <v>Nicaragua</v>
      </c>
      <c r="E16" s="78"/>
      <c r="F16" s="107" t="str">
        <f ca="1">IF(ISNUMBER(G16),REPT("|",G16*(60/uxb_globals!$B$10)),"")</f>
        <v>||||||||||||||||||||||||||||||</v>
      </c>
      <c r="G16" s="174">
        <f ca="1">uxb_ranking!AT17</f>
        <v>2</v>
      </c>
      <c r="H16" s="205" t="str">
        <f ca="1">uxb_ranking!CQ17</f>
        <v>-</v>
      </c>
      <c r="I16">
        <f ca="1">uxb_ranking!CX17</f>
        <v>0</v>
      </c>
      <c r="K16" s="140"/>
      <c r="L16" s="219"/>
      <c r="M16" s="148"/>
    </row>
    <row r="17" spans="1:13" ht="12.75" customHeight="1">
      <c r="A17" s="137"/>
      <c r="B17" s="95"/>
      <c r="C17" s="74" t="str">
        <f ca="1">uxb_ranking!BH18</f>
        <v>=5</v>
      </c>
      <c r="D17" s="170" t="str">
        <f ca="1">uxb_ranking!AM18</f>
        <v>Panama</v>
      </c>
      <c r="E17" s="75"/>
      <c r="F17" s="76" t="str">
        <f ca="1">IF(ISNUMBER(G17),REPT("|",G17*(60/uxb_globals!$B$10)),"")</f>
        <v>||||||||||||||||||||||||||||||</v>
      </c>
      <c r="G17" s="173">
        <f ca="1">uxb_ranking!AT18</f>
        <v>2</v>
      </c>
      <c r="H17" s="204" t="str">
        <f ca="1">uxb_ranking!CQ18</f>
        <v>new</v>
      </c>
      <c r="I17">
        <f ca="1">uxb_ranking!CX18</f>
        <v>0</v>
      </c>
      <c r="K17" s="140"/>
      <c r="L17" s="219"/>
      <c r="M17" s="148"/>
    </row>
    <row r="18" spans="1:13">
      <c r="A18" s="137"/>
      <c r="B18" s="95"/>
      <c r="C18" s="77" t="str">
        <f ca="1">uxb_ranking!BH19</f>
        <v>=5</v>
      </c>
      <c r="D18" s="171" t="str">
        <f ca="1">uxb_ranking!AM19</f>
        <v>Paraguay</v>
      </c>
      <c r="E18" s="78"/>
      <c r="F18" s="107" t="str">
        <f ca="1">IF(ISNUMBER(G18),REPT("|",G18*(60/uxb_globals!$B$10)),"")</f>
        <v>||||||||||||||||||||||||||||||</v>
      </c>
      <c r="G18" s="174">
        <f ca="1">uxb_ranking!AT19</f>
        <v>2</v>
      </c>
      <c r="H18" s="205" t="str">
        <f ca="1">uxb_ranking!CQ19</f>
        <v>-</v>
      </c>
      <c r="I18">
        <f ca="1">uxb_ranking!CX19</f>
        <v>0</v>
      </c>
      <c r="K18" s="140"/>
      <c r="L18" s="219"/>
      <c r="M18" s="148"/>
    </row>
    <row r="19" spans="1:13">
      <c r="A19" s="137"/>
      <c r="B19" s="95"/>
      <c r="C19" s="74" t="str">
        <f ca="1">uxb_ranking!BH20</f>
        <v>=13</v>
      </c>
      <c r="D19" s="170" t="str">
        <f ca="1">uxb_ranking!AM20</f>
        <v>Argentina</v>
      </c>
      <c r="E19" s="75"/>
      <c r="F19" s="76" t="str">
        <f ca="1">IF(ISNUMBER(G19),REPT("|",G19*(60/uxb_globals!$B$10)),"")</f>
        <v>|||||||||||||||</v>
      </c>
      <c r="G19" s="173">
        <f ca="1">uxb_ranking!AT20</f>
        <v>1</v>
      </c>
      <c r="H19" s="204" t="str">
        <f ca="1">uxb_ranking!CQ20</f>
        <v>-</v>
      </c>
      <c r="I19">
        <f ca="1">uxb_ranking!CX20</f>
        <v>0</v>
      </c>
      <c r="K19" s="140"/>
      <c r="L19" s="219"/>
      <c r="M19" s="148"/>
    </row>
    <row r="20" spans="1:13">
      <c r="A20" s="137"/>
      <c r="B20" s="95"/>
      <c r="C20" s="77" t="str">
        <f ca="1">uxb_ranking!BH21</f>
        <v>=13</v>
      </c>
      <c r="D20" s="171" t="str">
        <f ca="1">uxb_ranking!AM21</f>
        <v>Chile</v>
      </c>
      <c r="E20" s="78"/>
      <c r="F20" s="107" t="str">
        <f ca="1">IF(ISNUMBER(G20),REPT("|",G20*(60/uxb_globals!$B$10)),"")</f>
        <v>|||||||||||||||</v>
      </c>
      <c r="G20" s="174">
        <f ca="1">uxb_ranking!AT21</f>
        <v>1</v>
      </c>
      <c r="H20" s="205" t="str">
        <f ca="1">uxb_ranking!CQ21</f>
        <v>-</v>
      </c>
      <c r="I20">
        <f ca="1">uxb_ranking!CX21</f>
        <v>0</v>
      </c>
      <c r="K20" s="140"/>
      <c r="L20" s="219"/>
      <c r="M20" s="148"/>
    </row>
    <row r="21" spans="1:13">
      <c r="A21" s="137"/>
      <c r="B21" s="95"/>
      <c r="C21" s="74" t="str">
        <f ca="1">uxb_ranking!BH22</f>
        <v>=13</v>
      </c>
      <c r="D21" s="170" t="str">
        <f ca="1">uxb_ranking!AM22</f>
        <v>Costa Rica</v>
      </c>
      <c r="E21" s="75"/>
      <c r="F21" s="76" t="str">
        <f ca="1">IF(ISNUMBER(G21),REPT("|",G21*(60/uxb_globals!$B$10)),"")</f>
        <v>|||||||||||||||</v>
      </c>
      <c r="G21" s="173">
        <f ca="1">uxb_ranking!AT22</f>
        <v>1</v>
      </c>
      <c r="H21" s="204" t="str">
        <f ca="1">uxb_ranking!CQ22</f>
        <v>new</v>
      </c>
      <c r="I21">
        <f ca="1">uxb_ranking!CX22</f>
        <v>0</v>
      </c>
      <c r="K21" s="141"/>
      <c r="L21" s="220"/>
      <c r="M21" s="149"/>
    </row>
    <row r="22" spans="1:13">
      <c r="A22" s="137"/>
      <c r="B22" s="95"/>
      <c r="C22" s="77" t="str">
        <f ca="1">uxb_ranking!BH23</f>
        <v>=13</v>
      </c>
      <c r="D22" s="171" t="str">
        <f ca="1">uxb_ranking!AM23</f>
        <v>Guatemala</v>
      </c>
      <c r="E22" s="78"/>
      <c r="F22" s="107" t="str">
        <f ca="1">IF(ISNUMBER(G22),REPT("|",G22*(60/uxb_globals!$B$10)),"")</f>
        <v>|||||||||||||||</v>
      </c>
      <c r="G22" s="174">
        <f ca="1">uxb_ranking!AT23</f>
        <v>1</v>
      </c>
      <c r="H22" s="205" t="str">
        <f ca="1">uxb_ranking!CQ23</f>
        <v>-</v>
      </c>
      <c r="I22">
        <f ca="1">uxb_ranking!CX23</f>
        <v>0</v>
      </c>
    </row>
    <row r="23" spans="1:13">
      <c r="A23" s="137"/>
      <c r="B23" s="95"/>
      <c r="C23" s="74" t="str">
        <f ca="1">uxb_ranking!BH24</f>
        <v>=13</v>
      </c>
      <c r="D23" s="170" t="str">
        <f ca="1">uxb_ranking!AM24</f>
        <v>Haiti</v>
      </c>
      <c r="E23" s="75"/>
      <c r="F23" s="76" t="str">
        <f ca="1">IF(ISNUMBER(G23),REPT("|",G23*(60/uxb_globals!$B$10)),"")</f>
        <v>|||||||||||||||</v>
      </c>
      <c r="G23" s="173">
        <f ca="1">uxb_ranking!AT24</f>
        <v>1</v>
      </c>
      <c r="H23" s="204" t="str">
        <f ca="1">uxb_ranking!CQ24</f>
        <v>new</v>
      </c>
      <c r="I23">
        <f ca="1">uxb_ranking!CX24</f>
        <v>0</v>
      </c>
    </row>
    <row r="24" spans="1:13">
      <c r="A24" s="137"/>
      <c r="B24" s="95"/>
      <c r="C24" s="77" t="str">
        <f ca="1">uxb_ranking!BH25</f>
        <v>=13</v>
      </c>
      <c r="D24" s="171" t="str">
        <f ca="1">uxb_ranking!AM25</f>
        <v>Jamaica</v>
      </c>
      <c r="E24" s="78"/>
      <c r="F24" s="107" t="str">
        <f ca="1">IF(ISNUMBER(G24),REPT("|",G24*(60/uxb_globals!$B$10)),"")</f>
        <v>|||||||||||||||</v>
      </c>
      <c r="G24" s="174">
        <f ca="1">uxb_ranking!AT25</f>
        <v>1</v>
      </c>
      <c r="H24" s="205" t="str">
        <f ca="1">uxb_ranking!CQ25</f>
        <v>new</v>
      </c>
      <c r="I24">
        <f ca="1">uxb_ranking!CX25</f>
        <v>0</v>
      </c>
    </row>
    <row r="25" spans="1:13">
      <c r="A25" s="137"/>
      <c r="B25" s="95"/>
      <c r="C25" s="74" t="str">
        <f ca="1">uxb_ranking!BH26</f>
        <v>=13</v>
      </c>
      <c r="D25" s="170" t="str">
        <f ca="1">uxb_ranking!AM26</f>
        <v>Uruguay</v>
      </c>
      <c r="E25" s="75"/>
      <c r="F25" s="76" t="str">
        <f ca="1">IF(ISNUMBER(G25),REPT("|",G25*(60/uxb_globals!$B$10)),"")</f>
        <v>|||||||||||||||</v>
      </c>
      <c r="G25" s="173">
        <f ca="1">uxb_ranking!AT26</f>
        <v>1</v>
      </c>
      <c r="H25" s="204" t="str">
        <f ca="1">uxb_ranking!CQ26</f>
        <v>-</v>
      </c>
      <c r="I25">
        <f ca="1">uxb_ranking!CX26</f>
        <v>0</v>
      </c>
    </row>
    <row r="26" spans="1:13">
      <c r="A26" s="137"/>
      <c r="B26" s="95"/>
      <c r="C26" s="77" t="str">
        <f ca="1">uxb_ranking!BH27</f>
        <v>=13</v>
      </c>
      <c r="D26" s="171" t="str">
        <f ca="1">uxb_ranking!AM27</f>
        <v>Venezuela</v>
      </c>
      <c r="E26" s="78"/>
      <c r="F26" s="107" t="str">
        <f ca="1">IF(ISNUMBER(G26),REPT("|",G26*(60/uxb_globals!$B$10)),"")</f>
        <v>|||||||||||||||</v>
      </c>
      <c r="G26" s="174">
        <f ca="1">uxb_ranking!AT27</f>
        <v>1</v>
      </c>
      <c r="H26" s="205" t="str">
        <f ca="1">uxb_ranking!CQ27</f>
        <v>-</v>
      </c>
      <c r="I26">
        <f ca="1">uxb_ranking!CX27</f>
        <v>0</v>
      </c>
    </row>
    <row r="27" spans="1:13">
      <c r="A27" s="137"/>
      <c r="B27" s="95"/>
    </row>
    <row r="28" spans="1:13">
      <c r="A28" s="137"/>
      <c r="B28" s="95"/>
      <c r="C28" s="133" t="str">
        <f ca="1">IF(C29="","",uxb_globals!B35)</f>
        <v>Notes for Peru</v>
      </c>
    </row>
    <row r="29" spans="1:13" ht="111" customHeight="1">
      <c r="A29" s="137"/>
      <c r="B29" s="95"/>
      <c r="C29" s="221" t="str">
        <f ca="1">uxb_globals!B37</f>
        <v>EDPYMEs, also regulated by the SBS under the same umbrella legislation, are entities for the development of small and micro enterprises (entidades de desarollo de la pequeña y micro empresa, or EDPYMEs). They are non-deposit-taking institutions—their one obstacle—that are often owned by NGOs. Most of the currently existing EDPYMEs were formerly credit NGOs. These organisations transformed into regulated MFIs because they wanted to be regulated (with advantages like greater access to wholesale finance) and/or they wanted to avoid paying VAT on interest earned on their loans, as NGOs do. NGOs that have remained in that status have a regulatory pathway to upgrade into EDPYMEs if they fulfil certain steps outlined in the General Law, related to loan provisioning, risk management, information disclosure, and the like. EDPYMEs may also upgrade over time to offer wider services; in practice, some have moved into credit and debit cards but not none have into savings. (Ebentreich, 2005; Microfinance Gateway; personal interview, August 2007).</v>
      </c>
      <c r="D29" s="222"/>
      <c r="E29" s="222"/>
      <c r="F29" s="222"/>
      <c r="G29" s="222"/>
      <c r="H29" s="222"/>
      <c r="I29" s="222"/>
      <c r="J29" s="222"/>
      <c r="K29" s="222"/>
      <c r="L29" s="222"/>
    </row>
    <row r="30" spans="1:13">
      <c r="C30" s="134"/>
      <c r="D30" s="134"/>
      <c r="E30" s="134"/>
    </row>
    <row r="31" spans="1:13">
      <c r="C31" s="134"/>
      <c r="D31" s="134"/>
      <c r="E31" s="134"/>
    </row>
    <row r="32" spans="1:13">
      <c r="C32" s="134"/>
      <c r="D32" s="134"/>
      <c r="E32" s="134"/>
    </row>
    <row r="33" spans="3:5">
      <c r="C33" s="134"/>
      <c r="D33" s="134"/>
      <c r="E33" s="134"/>
    </row>
    <row r="34" spans="3:5">
      <c r="C34" s="134"/>
      <c r="D34" s="134"/>
      <c r="E34" s="134"/>
    </row>
    <row r="35" spans="3:5">
      <c r="C35" s="134"/>
      <c r="D35" s="134"/>
      <c r="E35" s="134"/>
    </row>
    <row r="36" spans="3:5">
      <c r="C36" s="134"/>
      <c r="D36" s="134"/>
      <c r="E36" s="134"/>
    </row>
    <row r="37" spans="3:5">
      <c r="C37" s="134"/>
      <c r="D37" s="134"/>
      <c r="E37" s="134"/>
    </row>
    <row r="38" spans="3:5">
      <c r="C38" s="134"/>
      <c r="D38" s="134"/>
      <c r="E38" s="134"/>
    </row>
    <row r="39" spans="3:5">
      <c r="C39" s="134"/>
      <c r="D39" s="134"/>
      <c r="E39" s="134"/>
    </row>
    <row r="40" spans="3:5">
      <c r="C40" s="134"/>
      <c r="D40" s="134"/>
      <c r="E40" s="134"/>
    </row>
    <row r="41" spans="3:5">
      <c r="C41" s="134"/>
      <c r="D41" s="134"/>
      <c r="E41" s="134"/>
    </row>
    <row r="42" spans="3:5">
      <c r="C42" s="134"/>
      <c r="D42" s="134"/>
      <c r="E42" s="134"/>
    </row>
  </sheetData>
  <mergeCells count="3">
    <mergeCell ref="L15:L21"/>
    <mergeCell ref="C29:L29"/>
    <mergeCell ref="L7:L14"/>
  </mergeCells>
  <phoneticPr fontId="2" type="noConversion"/>
  <conditionalFormatting sqref="C7:G26">
    <cfRule type="expression" dxfId="19" priority="1" stopIfTrue="1">
      <formula>$D7=$A$2</formula>
    </cfRule>
  </conditionalFormatting>
  <conditionalFormatting sqref="H7:H26">
    <cfRule type="expression" dxfId="18" priority="3" stopIfTrue="1">
      <formula>$D7=$A$2</formula>
    </cfRule>
    <cfRule type="expression" dxfId="17" priority="4" stopIfTrue="1">
      <formula>$I7=1</formula>
    </cfRule>
    <cfRule type="expression" dxfId="16" priority="5" stopIfTrue="1">
      <formula>$I7=-1</formula>
    </cfRule>
  </conditionalFormatting>
  <printOptions horizontalCentered="1"/>
  <pageMargins left="0.74803149606299213" right="0.74803149606299213" top="0.78740157480314965" bottom="0.78740157480314965" header="0.51181102362204722" footer="0.51181102362204722"/>
  <pageSetup scale="85" orientation="landscape"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sheetPr codeName="Sheet10">
    <pageSetUpPr fitToPage="1"/>
  </sheetPr>
  <dimension ref="A1:CD34"/>
  <sheetViews>
    <sheetView showGridLines="0" showRowColHeaders="0" zoomScale="90" zoomScaleNormal="100" workbookViewId="0">
      <pane ySplit="7" topLeftCell="A8" activePane="bottomLeft" state="frozen"/>
      <selection activeCell="C12" sqref="C12"/>
      <selection pane="bottomLeft" activeCell="J19" sqref="J19"/>
    </sheetView>
  </sheetViews>
  <sheetFormatPr defaultRowHeight="12.75"/>
  <cols>
    <col min="1" max="1" width="2" customWidth="1"/>
    <col min="2" max="2" width="1" hidden="1" customWidth="1"/>
    <col min="3" max="3" width="5.28515625" customWidth="1"/>
    <col min="4" max="4" width="34.28515625" customWidth="1"/>
    <col min="5" max="5" width="6.85546875" customWidth="1"/>
    <col min="6" max="6" width="6" hidden="1" customWidth="1"/>
    <col min="7" max="7" width="7.5703125" hidden="1" customWidth="1"/>
    <col min="8" max="8" width="8" style="186" customWidth="1"/>
    <col min="9" max="9" width="2.5703125" customWidth="1"/>
    <col min="10" max="10" width="82.7109375" style="93" customWidth="1"/>
  </cols>
  <sheetData>
    <row r="1" spans="1:82" s="9" customFormat="1" ht="24" customHeight="1">
      <c r="A1" s="21" t="str">
        <f ca="1">IF(ISERROR(uxb_globals!B5),"Select a country",uxb_globals!B5)</f>
        <v>Peru</v>
      </c>
      <c r="B1" s="21"/>
      <c r="C1" s="21"/>
      <c r="D1" s="7"/>
      <c r="E1" s="7"/>
      <c r="F1" s="7"/>
      <c r="G1" s="7"/>
      <c r="H1" s="185"/>
      <c r="I1" s="7"/>
      <c r="J1" s="92"/>
      <c r="K1" s="7"/>
      <c r="L1" s="7"/>
      <c r="M1" s="7"/>
      <c r="N1" s="7"/>
      <c r="O1" s="7"/>
      <c r="P1" s="7"/>
      <c r="Q1" s="7"/>
      <c r="R1" s="7"/>
      <c r="S1" s="7"/>
      <c r="T1" s="7"/>
      <c r="U1" s="7"/>
      <c r="V1" s="7"/>
      <c r="W1" s="7"/>
      <c r="X1" s="7"/>
      <c r="Y1" s="7"/>
      <c r="Z1" s="7"/>
      <c r="AA1" s="7"/>
      <c r="AQ1" s="10"/>
      <c r="AR1" s="10"/>
      <c r="AS1" s="10"/>
      <c r="AT1" s="10"/>
      <c r="AW1" s="11"/>
      <c r="AX1" s="11"/>
      <c r="AY1" s="11"/>
      <c r="AZ1" s="11"/>
      <c r="BA1" s="11"/>
      <c r="BB1" s="11"/>
      <c r="BC1" s="11"/>
      <c r="BD1" s="11"/>
      <c r="BE1" s="11"/>
      <c r="BF1" s="11"/>
      <c r="BH1" s="11"/>
      <c r="BI1" s="11"/>
      <c r="BJ1" s="11"/>
      <c r="BK1" s="11"/>
      <c r="BL1" s="11"/>
      <c r="BM1" s="11"/>
      <c r="BN1" s="11"/>
      <c r="BO1" s="11"/>
      <c r="BP1" s="11"/>
      <c r="BQ1" s="11"/>
      <c r="BR1" s="11"/>
      <c r="BT1" s="11"/>
      <c r="BU1" s="11"/>
      <c r="BV1" s="11"/>
      <c r="BW1" s="11"/>
      <c r="BX1" s="11"/>
      <c r="BY1" s="11"/>
      <c r="BZ1" s="11"/>
      <c r="CA1" s="11"/>
      <c r="CB1" s="11"/>
      <c r="CC1" s="11"/>
      <c r="CD1" s="11"/>
    </row>
    <row r="2" spans="1:82">
      <c r="E2" s="1">
        <v>2008</v>
      </c>
      <c r="F2" s="1">
        <v>2007</v>
      </c>
      <c r="G2" s="193" t="s">
        <v>121</v>
      </c>
      <c r="H2" s="193" t="s">
        <v>539</v>
      </c>
    </row>
    <row r="3" spans="1:82">
      <c r="D3" s="45" t="str">
        <f ca="1">uxb_scores_2008!C3</f>
        <v>Overall score</v>
      </c>
      <c r="E3" s="46">
        <f ca="1">OFFSET(uxb_scores_2008!I3,0,uxb_globals!$B$3)</f>
        <v>76.608333333333334</v>
      </c>
      <c r="F3" s="46">
        <f ca="1">OFFSET(uxb_scores_2007!I3,0,uxb_globals!$B$3)</f>
        <v>74.083333333333343</v>
      </c>
      <c r="G3" s="192">
        <f ca="1">IF(F3&lt;0,0,IF(E3=F3,0,IF(E3&gt;F3,1,-1)))</f>
        <v>1</v>
      </c>
      <c r="H3" s="200" t="str">
        <f ca="1">IF(F3&lt;0,"new",IF(G3=0,"-",IF(G3=1,CONCATENATE("+",TEXT(ROUND(E3,1)-ROUND(F3,1),"0.0")),CONCATENATE("-",TEXT(ABS(ROUND(E3,1)-ROUND(F3,1)),"0.0")))))</f>
        <v>+2.5</v>
      </c>
      <c r="J3" s="104" t="str">
        <f ca="1">REPT("|",E3)</f>
        <v>||||||||||||||||||||||||||||||||||||||||||||||||||||||||||||||||||||||||||||</v>
      </c>
    </row>
    <row r="4" spans="1:82">
      <c r="D4" s="103" t="str">
        <f ca="1">uxb_scores_2008!C4</f>
        <v xml:space="preserve">Regulatory Framework </v>
      </c>
      <c r="E4" s="49">
        <f ca="1">OFFSET(uxb_scores_2008!I4,0,uxb_globals!$B$3)</f>
        <v>87.5</v>
      </c>
      <c r="F4" s="49">
        <f ca="1">OFFSET(uxb_scores_2007!I4,0,uxb_globals!$B$3)</f>
        <v>81.25</v>
      </c>
      <c r="G4" s="192">
        <f ca="1">IF(F4&lt;0,0,IF(E4=F4,0,IF(E4&gt;F4,1,-1)))</f>
        <v>1</v>
      </c>
      <c r="H4" s="200" t="str">
        <f ca="1">IF(F4&lt;0,"new",IF(G4=0,"-",IF(G4=1,CONCATENATE("+",TEXT(ROUND(E4,1)-ROUND(F4,1),"0.0")),CONCATENATE("-",TEXT(ABS(ROUND(E4,1)-ROUND(F4,1)),"0.0")))))</f>
        <v>+6.2</v>
      </c>
      <c r="J4" s="105" t="str">
        <f ca="1">REPT("|",E4)</f>
        <v>|||||||||||||||||||||||||||||||||||||||||||||||||||||||||||||||||||||||||||||||||||||||</v>
      </c>
    </row>
    <row r="5" spans="1:82">
      <c r="D5" s="103" t="str">
        <f ca="1">uxb_scores_2008!C5</f>
        <v>Investment Climate</v>
      </c>
      <c r="E5" s="49">
        <f ca="1">OFFSET(uxb_scores_2008!I5,0,uxb_globals!$B$3)</f>
        <v>58.041666666666671</v>
      </c>
      <c r="F5" s="49">
        <f ca="1">OFFSET(uxb_scores_2007!I5,0,uxb_globals!$B$3)</f>
        <v>57.916666666666671</v>
      </c>
      <c r="G5" s="192">
        <f ca="1">IF(F5&lt;0,0,IF(E5=F5,0,IF(E5&gt;F5,1,-1)))</f>
        <v>1</v>
      </c>
      <c r="H5" s="200" t="str">
        <f ca="1">IF(F5&lt;0,"new",IF(G5=0,"-",IF(G5=1,CONCATENATE("+",TEXT(ROUND(E5,1)-ROUND(F5,1),"0.0")),CONCATENATE("-",TEXT(ABS(ROUND(E5,1)-ROUND(F5,1)),"0.0")))))</f>
        <v>+0.1</v>
      </c>
      <c r="J5" s="105" t="str">
        <f ca="1">REPT("|",E5)</f>
        <v>||||||||||||||||||||||||||||||||||||||||||||||||||||||||||</v>
      </c>
    </row>
    <row r="6" spans="1:82">
      <c r="D6" s="103" t="str">
        <f ca="1">uxb_scores_2008!C6</f>
        <v>Institutional Development</v>
      </c>
      <c r="E6" s="49">
        <f ca="1">OFFSET(uxb_scores_2008!I6,0,uxb_globals!$B$3)</f>
        <v>75</v>
      </c>
      <c r="F6" s="49">
        <f ca="1">OFFSET(uxb_scores_2007!I6,0,uxb_globals!$B$3)</f>
        <v>75</v>
      </c>
      <c r="G6" s="192">
        <f ca="1">IF(F6&lt;0,0,IF(E6=F6,0,IF(E6&gt;F6,1,-1)))</f>
        <v>0</v>
      </c>
      <c r="H6" s="200" t="str">
        <f ca="1">IF(F6&lt;0,"new",IF(G6=0,"-",IF(G6=1,CONCATENATE("+",TEXT(ROUND(E6,1)-ROUND(F6,1),"0.0")),CONCATENATE("-",TEXT(ABS(ROUND(E6,1)-ROUND(F6,1)),"0.0")))))</f>
        <v>-</v>
      </c>
      <c r="J6" s="105" t="str">
        <f ca="1">REPT("|",E6)</f>
        <v>|||||||||||||||||||||||||||||||||||||||||||||||||||||||||||||||||||||||||||</v>
      </c>
    </row>
    <row r="8" spans="1:82">
      <c r="E8" s="1">
        <v>2008</v>
      </c>
      <c r="F8" s="1">
        <v>2007</v>
      </c>
      <c r="G8" s="1"/>
      <c r="H8" s="193" t="s">
        <v>539</v>
      </c>
    </row>
    <row r="9" spans="1:82" ht="27" customHeight="1">
      <c r="B9" s="18"/>
      <c r="C9" s="95"/>
      <c r="D9" s="113" t="str">
        <f ca="1">uxb_scores_2008!C11</f>
        <v xml:space="preserve">Regulatory Framework </v>
      </c>
      <c r="E9" s="199">
        <f ca="1">E4</f>
        <v>87.5</v>
      </c>
      <c r="F9" s="114">
        <f ca="1">F4</f>
        <v>81.25</v>
      </c>
      <c r="G9" s="187">
        <f ca="1">IF(F9&lt;0,0,IF(E9=F9,0,IF(E9&gt;F9,1,-1)))</f>
        <v>1</v>
      </c>
      <c r="H9" s="201" t="str">
        <f ca="1">IF(F9&lt;0,"new",IF(G9=0,"-",IF(G9=1,CONCATENATE("+",TEXT(ROUND(E9,1)-ROUND(F9,1),"0.0")),CONCATENATE("-",TEXT(ABS(ROUND(E9,1)-ROUND(F9,1)),"0.0")))))</f>
        <v>+6.2</v>
      </c>
      <c r="I9" s="115"/>
      <c r="J9" s="116"/>
    </row>
    <row r="10" spans="1:82" ht="140.1" customHeight="1">
      <c r="B10" s="18"/>
      <c r="C10" s="95"/>
      <c r="D10" s="161" t="str">
        <f ca="1">uxb_scores_2008!C12</f>
        <v>Regulation of microcredit operations</v>
      </c>
      <c r="E10" s="101">
        <f ca="1">OFFSET(uxb_scores_2008!I12,0,uxb_globals!$B$3)</f>
        <v>4</v>
      </c>
      <c r="F10" s="101">
        <f ca="1">OFFSET(uxb_scores_2007!I12,0,uxb_globals!$B$3)</f>
        <v>4</v>
      </c>
      <c r="G10" s="101">
        <f ca="1">IF(F10&lt;0,0,IF(ROUND(E10,1)=ROUND(F10,1),0,IF(E10&gt;F10,1,-1)))</f>
        <v>0</v>
      </c>
      <c r="H10" s="195" t="str">
        <f ca="1">IF(F10&lt;0,"new",IF(G10=0,"-",IF(G10=1,CONCATENATE("+",TEXT(E10-F10,"0.0")),CONCATENATE("-",TEXT(ABS(E10-F10),"0.0")))))</f>
        <v>-</v>
      </c>
      <c r="I10" s="99"/>
      <c r="J10" s="117" t="str">
        <f ca="1">OFFSET(uxb_scores_2008!I45,0,uxb_globals!$B$3)</f>
        <v>The umbrella regulatory framework is spelled out in the General Law of the Financial and Insurance Systems and Superintendency of Banking, Insurance, and Pension Funds-SBS (Law Nº 26702 of 2004). The SBS is the principal regulator. This framework applies to banks, a specialised institution category called EDPYMEs (see below), rural savings and loans, and municipal savings and loans, the last of which are additionally regulated under Supreme Decree No. 157-90-EF (1990). There are several commercial banks in microfinance. Aside from these, in Peru there are two other types of regulated MFIs that fall in the traditional-institution category: municipal savings and loans (cajas municipales de ahorro y crédito, or CMACs, which are deposit-taking institutions originally owned by city or provincial governments and specialising in the financing of small and micro enterprises and rural savings) and rural savings and loans (cajas rurales de ahorro y crédito, or CRACs, which are usually privately owned deposit-taking institutions specialising in the financing of small and micro enterprises in rural areas). There are no interest rate restrictions under Law 26702. There is no direct competition from subsidised public retail finance institutions (except CMACs, which have increasingly been privatised and operate according to market criteria). Documentation requirements are not burdensome. And capital-adequacy ratios (9.1% for all types of regulated institutions) are reasonable. Minimum capital requirements (US$289,000) for non-bank institutions are arguably low, though they reflect in part the fact that these institutions cannot capture savings. (Microfinance Gateway; Ebentreich, 2005; Personal interviews, August 2008, August 2007).</v>
      </c>
    </row>
    <row r="11" spans="1:82" ht="140.1" customHeight="1">
      <c r="B11" s="18"/>
      <c r="C11" s="95"/>
      <c r="D11" s="162" t="str">
        <f ca="1">uxb_scores_2008!C13</f>
        <v>Formation and operation of regulated/supervised specialised MFIs</v>
      </c>
      <c r="E11" s="102">
        <f ca="1">OFFSET(uxb_scores_2008!I13,0,uxb_globals!$B$3)</f>
        <v>4</v>
      </c>
      <c r="F11" s="102">
        <f ca="1">OFFSET(uxb_scores_2007!I13,0,uxb_globals!$B$3)</f>
        <v>3</v>
      </c>
      <c r="G11" s="102">
        <f ca="1">IF(F11&lt;0,0,IF(ROUND(E11,1)=ROUND(F11,1),0,IF(E11&gt;F11,1,-1)))</f>
        <v>1</v>
      </c>
      <c r="H11" s="196" t="str">
        <f ca="1">IF(F11&lt;0,"new",IF(G11=0,"-",IF(G11=1,CONCATENATE("+",TEXT(E11-F11,"0.0")),CONCATENATE("-",TEXT(ABS(E11-F11),"0.0")))))</f>
        <v>+1.0</v>
      </c>
      <c r="I11" s="100"/>
      <c r="J11" s="118" t="str">
        <f ca="1">OFFSET(uxb_scores_2008!I46,0,uxb_globals!$B$3)</f>
        <v>EDPYMEs, also regulated by the SBS under the same umbrella legislation, are entities for the development of small and micro enterprises (entidades de desarollo de la pequeña y micro empresa, or EDPYMEs). They are non-deposit-taking institutions that are often owned by NGOs; the difficulty in raising capital, particularly through deposit taking, has been the one weakness of this otherwise potent MFI vehicle.  Most of the currently existing EDPYMEs were formerly credit NGOs. Their numbers and profitability continue to increase, and as a group their combined portfolios recently surpassed those of cajas rurales (rural credit unions).  These organisations transformed into regulated MFIs because they wanted to be regulated (with advantages like greater access to wholesale finance) and/or they wanted to avoid paying VAT on interest earned on their loans, as NGOs do. NGOs that have remained in that status have a regulatory pathway to upgrade into EDPYMEs if they fulfill certain steps outlined in the General Law, related to loan provisioning, risk management, information disclosure, and the like. EDPYMEs may also upgrade over time to offer wider services if they obtain permission; in practice, some have moved into credit and debit cards but not none have into savings.  In June 2008, however, Legislative Decree 1028 was adopted by the SBS with the aim of improving the access of both EDPYMEs and cajas rurales and cajas municipales to capital markets. While implementing regulations must be adopted within 90 days and were not issued as of August 2008, the decree will enable these three types of non-banking MFIs to engage in a series of different financial operations previously restricted to banks (e.g., trading stocks and bonds and other paper, mortgage lending, etc.). It is not clear if final implementing regulations will also improve the ability of these institutions to receive permission to capture deposits, but it nonetheless appears to strengthen in important ways their ability to compete with banks in microfinance. (Ebentreich, 2005; Microfinance Gateway; personal interviews, August 2008, August 2007; Diario La Republica online, www.larepublica.com.pe, June 24, 2008).</v>
      </c>
    </row>
    <row r="12" spans="1:82" ht="140.1" customHeight="1">
      <c r="B12" s="18"/>
      <c r="C12" s="95"/>
      <c r="D12" s="161" t="str">
        <f ca="1">uxb_scores_2008!C14</f>
        <v>Formation and operation of non-regulated MFIs</v>
      </c>
      <c r="E12" s="101">
        <f ca="1">OFFSET(uxb_scores_2008!I14,0,uxb_globals!$B$3)</f>
        <v>2</v>
      </c>
      <c r="F12" s="101">
        <f ca="1">OFFSET(uxb_scores_2007!I14,0,uxb_globals!$B$3)</f>
        <v>2</v>
      </c>
      <c r="G12" s="101">
        <f ca="1">IF(F12&lt;0,0,IF(ROUND(E12,1)=ROUND(F12,1),0,IF(E12&gt;F12,1,-1)))</f>
        <v>0</v>
      </c>
      <c r="H12" s="195" t="str">
        <f ca="1">IF(F12&lt;0,"new",IF(G12=0,"-",IF(G12=1,CONCATENATE("+",TEXT(E12-F12,"0.0")),CONCATENATE("-",TEXT(ABS(E12-F12),"0.0")))))</f>
        <v>-</v>
      </c>
      <c r="I12" s="99"/>
      <c r="J12" s="117" t="str">
        <f ca="1">OFFSET(uxb_scores_2008!I47,0,uxb_globals!$B$3)</f>
        <v>Credit NGOs and cooperatives/credit unions continue to operate as non-regulated MFIs; the latter are member-only (closed) institutions that specialise in consumer loans. There are still many NGOs that offer credit to their clients, and are not regulated nor supervised by the SBS. As a practical matter, NGOs that wish to engage in microfinance need—in addition to being already constituted as civil associations registered with the National Superintendency of Public Registries (SUNARP)—to be registered with the tax authorities, labour authorities, the municipality in which they operate and the Peruvian Agency for International Cooperation's registry of NGOs receiving international assistance. Although these are comparatively easy requirements to fulfill, NGOs face a tax on interest income and a cap on interest rates—in both cases unlike regulated institutions—and do not have access to some second tier funds; this provides an important incentive for them to try to meet the various requirements needed to upgrade into EDPYMEs. (Microfinance Gateway; Risolidaria Solidaridad en Internet 2004 [www.risolidaria.org.pe/manuales/manualong.pdf]; Personal interviews, August 2008, August 2007).</v>
      </c>
    </row>
    <row r="13" spans="1:82" ht="140.1" customHeight="1">
      <c r="B13" s="18"/>
      <c r="C13" s="95"/>
      <c r="D13" s="163" t="str">
        <f ca="1">uxb_scores_2008!C15</f>
        <v>Regulatory and examination capacity</v>
      </c>
      <c r="E13" s="119">
        <f ca="1">OFFSET(uxb_scores_2008!I15,0,uxb_globals!$B$3)</f>
        <v>4</v>
      </c>
      <c r="F13" s="119">
        <f ca="1">OFFSET(uxb_scores_2007!I15,0,uxb_globals!$B$3)</f>
        <v>4</v>
      </c>
      <c r="G13" s="119">
        <f ca="1">IF(F13&lt;0,0,IF(ROUND(E13,1)=ROUND(F13,1),0,IF(E13&gt;F13,1,-1)))</f>
        <v>0</v>
      </c>
      <c r="H13" s="197" t="str">
        <f ca="1">IF(F13&lt;0,"new",IF(G13=0,"-",IF(G13=1,CONCATENATE("+",TEXT(E13-F13,"0.0")),CONCATENATE("-",TEXT(ABS(E13-F13),"0.0")))))</f>
        <v>-</v>
      </c>
      <c r="I13" s="120"/>
      <c r="J13" s="121" t="str">
        <f ca="1">OFFSET(uxb_scores_2008!I48,0,uxb_globals!$B$3)</f>
        <v>The SBS enjoys a good reputation and was rated 96.6 out of 100 in 2005 by a combined World Bank-IMF mission for the quality of its general financial regulations and supervision. In microfinance, specific regulations and methodologies have been developed for regulated MFIs, such as loan-loss provisioning based on loan status (rather than institution type); increasingly thorough on-site inspection procedures; and increasingly stringent requirement for internal controls in MFIs. With the new legislative decree adopted in June 2008, the former "modular scheme" of Law 26702 requiring CRACs, CMACs, and EDPYMES to   apply for authorisation to perform additional non-savings operations besides microcredit only by meeting certain conditions of minimum capital and solvency and undergo an evaluation for that purpose essentially ended; in addition, CMACs, which are constituted at the municipal level, can now operate in other departments and provinces.  This reflects a certain perception that these specialised regulations institutions have acquired a maturity and sophistication that enables them to compete equally with other regulated institutions. SBS has a well-trained, professional microfinance department and specific reporting and risk provisioning requirements for microfinance. The adoption of this new decree expanding access to capital markets for regulated non-bank MFIs is the most recent testimony to the SBS's eagerness to promote competition in microfinance.  (Ebentreich, 2005; Microfinance Gateway; Personal interviews, August 2008, August 2007; Rosales, ICC, August 2008).</v>
      </c>
    </row>
    <row r="14" spans="1:82" ht="19.5" customHeight="1">
      <c r="B14" s="95"/>
      <c r="C14" s="95"/>
      <c r="D14" s="164"/>
      <c r="E14" s="96"/>
      <c r="F14" s="96"/>
      <c r="G14" s="96"/>
      <c r="H14" s="194"/>
      <c r="I14" s="97"/>
      <c r="J14" s="98"/>
    </row>
    <row r="15" spans="1:82" ht="27" customHeight="1">
      <c r="B15" s="18"/>
      <c r="C15" s="95"/>
      <c r="D15" s="165" t="str">
        <f ca="1">uxb_scores_2008!C16</f>
        <v>Investment Climate</v>
      </c>
      <c r="E15" s="199">
        <f ca="1">E5</f>
        <v>58.041666666666671</v>
      </c>
      <c r="F15" s="114">
        <f ca="1">OFFSET(uxb_scores_2007!I5,0,uxb_globals!B3)</f>
        <v>57.916666666666671</v>
      </c>
      <c r="G15" s="187">
        <f ca="1">IF(F15&lt;0,0,IF(E15=F15,0,IF(E15&gt;F15,1,-1)))</f>
        <v>1</v>
      </c>
      <c r="H15" s="201" t="str">
        <f ca="1">IF(F15&lt;0,"new",IF(G15=0,"-",IF(G15=1,CONCATENATE("+",TEXT(ROUND(E15,1)-ROUND(F15,1),"0.0")),CONCATENATE("-",TEXT(ABS(ROUND(E15,1)-ROUND(F15,1)),"0.0")))))</f>
        <v>+0.1</v>
      </c>
      <c r="I15" s="115"/>
      <c r="J15" s="116"/>
    </row>
    <row r="16" spans="1:82" ht="140.1" customHeight="1">
      <c r="B16" s="18"/>
      <c r="C16" s="95"/>
      <c r="D16" s="161" t="str">
        <f ca="1">uxb_scores_2008!C17</f>
        <v>Political stability</v>
      </c>
      <c r="E16" s="108">
        <f ca="1">OFFSET(uxb_scores_2008!I17,0,uxb_globals!$B$3)</f>
        <v>2.2000000000000002</v>
      </c>
      <c r="F16" s="108">
        <f ca="1">OFFSET(uxb_scores_2007!I17,0,uxb_globals!$B$3)</f>
        <v>2.2000000000000002</v>
      </c>
      <c r="G16" s="108">
        <f t="shared" ref="G16:G21" ca="1" si="0">IF(F16&lt;0,0,IF(ROUND(E16,1)=ROUND(F16,1),0,IF(E16&gt;F16,1,-1)))</f>
        <v>0</v>
      </c>
      <c r="H16" s="195" t="str">
        <f t="shared" ref="H16:H21" ca="1" si="1">IF(F16&lt;0,"new",IF(G16=0,"-",IF(G16=1,CONCATENATE("+",TEXT(E16-F16,"0.0")),CONCATENATE("-",TEXT(ABS(E16-F16),"0.0")))))</f>
        <v>-</v>
      </c>
      <c r="I16" s="99"/>
      <c r="J16" s="117" t="str">
        <f ca="1">OFFSET(uxb_scores_2008!I50,0,uxb_globals!$B$3)</f>
        <v>Political stability risk will remain elevated throughout the forecast period. The government, which took office in July 2006, lacks a legislative majority in Congress. The ongoing trial of a former president, Alberto Fujimori (1990-2000), on corruption and murder charges is a highly divisive issue with the potential to undermine governability further. While social protest will continue to be widespread, it will remain disorganised. In comparison with unrest-prone neighbours Ecuador and Bolivia, there has been little development of organised anti-establishment social movements, and Peru's intra-regional tensions are less acute. Mr García will be helped by solid economic growth, but will face difficult decisions in the face of popular protest, particularly if the poor do not see the benefits of the country's rapid growth in the form of higher public investment and increased employment. The armed forces do not pose a threat to stability. (EIU Risk Briefing, July 2008)</v>
      </c>
    </row>
    <row r="17" spans="2:10" ht="140.1" customHeight="1">
      <c r="B17" s="18"/>
      <c r="C17" s="95"/>
      <c r="D17" s="162" t="str">
        <f ca="1">uxb_scores_2008!C18</f>
        <v>Capital market development</v>
      </c>
      <c r="E17" s="109">
        <f ca="1">OFFSET(uxb_scores_2008!I18,0,uxb_globals!$B$3)</f>
        <v>2.4</v>
      </c>
      <c r="F17" s="109">
        <f ca="1">OFFSET(uxb_scores_2007!I18,0,uxb_globals!$B$3)</f>
        <v>2.4</v>
      </c>
      <c r="G17" s="109">
        <f t="shared" ca="1" si="0"/>
        <v>0</v>
      </c>
      <c r="H17" s="196" t="str">
        <f t="shared" ca="1" si="1"/>
        <v>-</v>
      </c>
      <c r="I17" s="100"/>
      <c r="J17" s="118" t="str">
        <f ca="1">OFFSET(uxb_scores_2008!I51,0,uxb_globals!$B$3)</f>
        <v>Corporate finance is widely available, but costly. Banks' lending portfolios have strengthened since 2002, and non-performing loans had fallen to 1.3% of commercial banks' portfolio by May 2008, according to the banking regulator. However, banks remain wary of lending to small and medium-sized businesses, and will continue to remain cautious until they build up their capacity to assess credit risks. It is difficult for informal sector businesses to access bank lending. There are few restrictions on foreign-owned firms gaining access to the domestic market. The risk of a crisis in the banking system is low: the banking sector has proved resilient in the face of several shocks in recent years as supervision has strengthened and as foreign banks have become more involved. Three-quarters of all bank deposits are in the hands of four banks, and consolidation has helped to shore up the strength of the sector.(EIU Risk Briefing, July 2008)</v>
      </c>
    </row>
    <row r="18" spans="2:10" ht="140.1" customHeight="1">
      <c r="B18" s="18"/>
      <c r="C18" s="95"/>
      <c r="D18" s="161" t="str">
        <f ca="1">uxb_scores_2008!C19</f>
        <v>Judicial system</v>
      </c>
      <c r="E18" s="108">
        <f ca="1">OFFSET(uxb_scores_2008!I19,0,uxb_globals!$B$3)</f>
        <v>0.33</v>
      </c>
      <c r="F18" s="108">
        <f ca="1">OFFSET(uxb_scores_2007!I19,0,uxb_globals!$B$3)</f>
        <v>0.3</v>
      </c>
      <c r="G18" s="108">
        <f t="shared" ca="1" si="0"/>
        <v>0</v>
      </c>
      <c r="H18" s="195" t="str">
        <f t="shared" ca="1" si="1"/>
        <v>-</v>
      </c>
      <c r="I18" s="99"/>
      <c r="J18" s="117" t="str">
        <f ca="1">OFFSET(uxb_scores_2008!I52,0,uxb_globals!$B$3)</f>
        <v>Judicial corruption was endemic under the Fujimori regime, and efforts to clean up the system will take years, with the judiciary the least trusted of all public institutions. Although the legal system is less politicised now, domestic courts still lack impartiality and strength. A judicial reform commission was set up in 2004 but its recommendations have largely been ignored. Many judges are open to bribery, the justice system is ineffective and increases in spending have brought little result because money has been absorbed by the bureaucracy and in higher salaries. Litigation to recover debts can cost up to half the amount being contested, leading businesses to prefer trusted suppliers and customers, and discouraging competition. Decentralisation should lift transparency and accountability in the political process. Despite solid legislation, intellectual property rights are still violated, due to under-policing. (EIU Risk Briefing, July 2008)</v>
      </c>
    </row>
    <row r="19" spans="2:10" ht="140.1" customHeight="1">
      <c r="B19" s="18"/>
      <c r="C19" s="95"/>
      <c r="D19" s="162" t="str">
        <f ca="1">uxb_scores_2008!C20</f>
        <v>Accounting standards</v>
      </c>
      <c r="E19" s="109">
        <f ca="1">OFFSET(uxb_scores_2008!I20,0,uxb_globals!$B$3)</f>
        <v>3</v>
      </c>
      <c r="F19" s="109">
        <f ca="1">OFFSET(uxb_scores_2007!I20,0,uxb_globals!$B$3)</f>
        <v>3</v>
      </c>
      <c r="G19" s="109">
        <f t="shared" ca="1" si="0"/>
        <v>0</v>
      </c>
      <c r="H19" s="196" t="str">
        <f t="shared" ca="1" si="1"/>
        <v>-</v>
      </c>
      <c r="I19" s="100"/>
      <c r="J19" s="118" t="str">
        <f ca="1">OFFSET(uxb_scores_2008!I53,0,uxb_globals!$B$3)</f>
        <v xml:space="preserve">IAS were adopted by Peru economy-wide in the late 1990s, and IFRS are required for all listed firms. With enforcement in the hands of SBS, IAS are generally in use in regulated financial entities. The SBS has developed detailed accounting standards for financial institutions for both regulatory and general-purpose financial reporting; though they are generally in line with international standards, a few of the standards adopted for the latter purposes are out of line with IFRS. In non-regulated institutions, accounting standards are subject to considerable self-regulation and dissemination of best practices via voluntary NGO microcredit associations and cooperative federations; in practice, standards vary somewhat across such institutions. (Deloitte/IAS Plus; Procapitales; CONASEV; IFC, Report on the Observances of Standards and Codes, June 2004; Personal interviews, August 2008, August 2007). </v>
      </c>
    </row>
    <row r="20" spans="2:10" ht="140.1" customHeight="1">
      <c r="B20" s="18"/>
      <c r="C20" s="95"/>
      <c r="D20" s="161" t="str">
        <f ca="1">uxb_scores_2008!C21</f>
        <v>Governance standards</v>
      </c>
      <c r="E20" s="108">
        <f ca="1">OFFSET(uxb_scores_2008!I21,0,uxb_globals!$B$3)</f>
        <v>3</v>
      </c>
      <c r="F20" s="108">
        <f ca="1">OFFSET(uxb_scores_2007!I21,0,uxb_globals!$B$3)</f>
        <v>3</v>
      </c>
      <c r="G20" s="108">
        <f t="shared" ca="1" si="0"/>
        <v>0</v>
      </c>
      <c r="H20" s="195" t="str">
        <f t="shared" ca="1" si="1"/>
        <v>-</v>
      </c>
      <c r="I20" s="99"/>
      <c r="J20" s="117" t="str">
        <f ca="1">OFFSET(uxb_scores_2008!I54,0,uxb_globals!$B$3)</f>
        <v xml:space="preserve">Relatively strict financial disclosure requirements exist for publicly traded companies (by law, banks and financial institutions must be listed). As open corporations (sociedades anónimas abiertas), such corporate entities must disclose non-confidential information at the request of shareholders representing at least 3% of capital. Board composition and decision-making are only partially regulated. Conasev, the securities regulator, set up a voluntary code in 2002, and in 2005 for the first time companies were required to report on their compliance with it.  In September 2007, Conasev reported that during 2006 a total of 187 out of 213 firms who committed to release these reports annually had done so, and all but two of the firms submitting compliance information had also incorporated the norms into their charters as annexes, as they had agreed to do under the code.  According to World Bank Doing Business (2008), Peru has a score of 6.7 out of 10 on the Investor Protection Index, compared with a regional average of 5.1.  Among non-regulated institutions, there is wide awareness of the importance of observing good standards as a result of self-regulation through voluntary NGO associations. (IFC, Report on Observance of Standards and Codes, June 2004; EIU, Country Commerce, May 2007, May 2006; Personal interviews, August 2008, August 2007). </v>
      </c>
    </row>
    <row r="21" spans="2:10" ht="140.1" customHeight="1">
      <c r="B21" s="18"/>
      <c r="C21" s="95"/>
      <c r="D21" s="163" t="str">
        <f ca="1">uxb_scores_2008!C22</f>
        <v>MFI transparency</v>
      </c>
      <c r="E21" s="122">
        <f ca="1">OFFSET(uxb_scores_2008!I22,0,uxb_globals!$B$3)</f>
        <v>3</v>
      </c>
      <c r="F21" s="122">
        <f ca="1">OFFSET(uxb_scores_2007!I22,0,uxb_globals!$B$3)</f>
        <v>3</v>
      </c>
      <c r="G21" s="122">
        <f t="shared" ca="1" si="0"/>
        <v>0</v>
      </c>
      <c r="H21" s="197" t="str">
        <f t="shared" ca="1" si="1"/>
        <v>-</v>
      </c>
      <c r="I21" s="120"/>
      <c r="J21" s="121" t="str">
        <f ca="1">OFFSET(uxb_scores_2008!I55,0,uxb_globals!$B$3)</f>
        <v>Regulated institutions are required to disclose effective interest rates on a frequent basis via the internet. Non-regulated institutions often do not do so in practice (and face no legal obligation) since they face interest rate ceilings and thus compensate with hidden fees. Regulated institutions must publish a balance-sheet summary in El Peruano, the official state newspaper, each year, though those with total assets of less than 91 tax units may submit unaudited accounts. Disclosure requirements are much more stringent for publicly quoted companies (such as banks and finance companies), which must submit audited accounts annually and unaudited accounts quarterly to the Conasev. External ratings are required of other regulated institutions (EDPYMEs, CRACs, and CMACs) on an annual basis from 2010 (as is now true of banks), under the presidential decree of June 2008.     NGOs have varying practices, with pressures for self-regulation coming from voluntary associations and from international funders; roughly half of the NGO MFIs listed in MIX Market are externally rated. (EIU, Country Commerce, June 2008; Ebentreich, 2005; De Janvry et al, 2003; Microfinance Gateway; Personal interviews, August 2008, August 2007; MIX Market; Rosales, ICC, August 2008).</v>
      </c>
    </row>
    <row r="22" spans="2:10" ht="36.75" customHeight="1">
      <c r="B22" s="95"/>
      <c r="C22" s="95"/>
      <c r="D22" s="164"/>
      <c r="E22" s="96"/>
      <c r="F22" s="96"/>
      <c r="G22" s="96"/>
      <c r="H22" s="194"/>
      <c r="I22" s="97"/>
      <c r="J22" s="98"/>
    </row>
    <row r="23" spans="2:10" ht="27" customHeight="1">
      <c r="B23" s="18"/>
      <c r="C23" s="95"/>
      <c r="D23" s="165" t="str">
        <f ca="1">uxb_scores_2008!C23</f>
        <v>Institutional Development</v>
      </c>
      <c r="E23" s="199">
        <f ca="1">E6</f>
        <v>75</v>
      </c>
      <c r="F23" s="114">
        <f ca="1">OFFSET(uxb_scores_2007!I6,0,uxb_globals!B3)</f>
        <v>75</v>
      </c>
      <c r="G23" s="187">
        <f ca="1">IF(F23&lt;0,0,IF(E23=F23,0,IF(E23&gt;F23,1,-1)))</f>
        <v>0</v>
      </c>
      <c r="H23" s="201" t="str">
        <f ca="1">IF(F23&lt;0,"new",IF(G23=0,"-",IF(G23=1,CONCATENATE("+",TEXT(ROUND(E23,1)-ROUND(F23,1),"0.0")),CONCATENATE("-",TEXT(ABS(ROUND(E23,1)-ROUND(F23,1)),"0.0")))))</f>
        <v>-</v>
      </c>
      <c r="I23" s="115"/>
      <c r="J23" s="116"/>
    </row>
    <row r="24" spans="2:10" ht="140.1" customHeight="1">
      <c r="B24" s="18"/>
      <c r="C24" s="95"/>
      <c r="D24" s="161" t="str">
        <f ca="1">uxb_scores_2008!C24</f>
        <v>Range of MFI Services</v>
      </c>
      <c r="E24" s="101">
        <f ca="1">OFFSET(uxb_scores_2008!I24,0,uxb_globals!$B$3)</f>
        <v>3</v>
      </c>
      <c r="F24" s="101">
        <f ca="1">OFFSET(uxb_scores_2007!I24,0,uxb_globals!$B$3)</f>
        <v>3</v>
      </c>
      <c r="G24" s="101">
        <f ca="1">IF(F24&lt;0,0,IF(ROUND(E24,1)=ROUND(F24,1),0,IF(E24&gt;F24,1,-1)))</f>
        <v>0</v>
      </c>
      <c r="H24" s="195" t="str">
        <f ca="1">IF(F24&lt;0,"new",IF(G24=0,"-",IF(G24=1,CONCATENATE("+",TEXT(E24-F24,"0.0")),CONCATENATE("-",TEXT(ABS(E24-F24),"0.0")))))</f>
        <v>-</v>
      </c>
      <c r="I24" s="99"/>
      <c r="J24" s="117" t="str">
        <f ca="1">OFFSET(uxb_scores_2008!I57,0,uxb_globals!$B$3)</f>
        <v>Regulated institutions have innovated in providing savings, checking, ATM, fund transfer, insurance, and other services. CRACs (rural credit unions) and CMACs (municipal credit unions) offer both savings and microcredit. Although not allowed to accept deposits, EDPYMEs can gain permission to offer additional services (e.g., credit cards) by increasing their minimum capital base and passing an ad hoc evaluation by the SBS, and their ability to do so (and that of CRACs and CMACS as well) will likely be enhanced by the June 2008 decree expanding access to capital markets. Non-regulated institutions are more restricted in the services they can legally and practically offer, typically being limited to just microcredit. (Ebentreich, 2005; Microfinance Gateway; Personal interviews, August 2008, August 2007; MIX Market).</v>
      </c>
    </row>
    <row r="25" spans="2:10" ht="140.1" customHeight="1">
      <c r="B25" s="18"/>
      <c r="C25" s="95"/>
      <c r="D25" s="162" t="str">
        <f ca="1">uxb_scores_2008!C25</f>
        <v>Credit bureaus</v>
      </c>
      <c r="E25" s="102">
        <f ca="1">OFFSET(uxb_scores_2008!I25,0,uxb_globals!$B$3)</f>
        <v>3</v>
      </c>
      <c r="F25" s="102">
        <f ca="1">OFFSET(uxb_scores_2007!I25,0,uxb_globals!$B$3)</f>
        <v>3</v>
      </c>
      <c r="G25" s="102">
        <f ca="1">IF(F25&lt;0,0,IF(ROUND(E25,1)=ROUND(F25,1),0,IF(E25&gt;F25,1,-1)))</f>
        <v>0</v>
      </c>
      <c r="H25" s="196" t="str">
        <f ca="1">IF(F25&lt;0,"new",IF(G25=0,"-",IF(G25=1,CONCATENATE("+",TEXT(E25-F25,"0.0")),CONCATENATE("-",TEXT(ABS(E25-F25),"0.0")))))</f>
        <v>-</v>
      </c>
      <c r="I25" s="100"/>
      <c r="J25" s="118" t="str">
        <f ca="1">OFFSET(uxb_scores_2008!I58,0,uxb_globals!$B$3)</f>
        <v>The SBS collects information from all debtors of the financial system, and consolidates it in its credit bureau. It also sells the information to two private credit bureaus (Infocorp and Certicom), which complement that information with other sources (utilities, tax collector, retail stores etc). Both positive and negative information on prospective clients is reported, and information on all clients of regulated financial institutions is reported, though the timeliness of information is sometimes wanting. Peru has a Credit Information Index score of 6.0 out of a maximum of 6.0 on World Bank Doing Business (2008), which compares to a regional average of 3.4. The public registry covers 20.7% of the adult population (up from 19.2% a year earlier), and the private bureaus cover 33.0% (up from 28.6%).  Regulated institutions use the public credit registry consistently, but non-regulated institutions vary in their usage. At both types of institutions, there tends to be continued reliance on informal contacts at other institutions and banks to check on prospective clients.  NGOs also have their own credit bureau.  (Ebentreich, 2005; De Janvry et al 2003; Microfinance Gateway; Personal interviews, August 2008, August 2007).</v>
      </c>
    </row>
    <row r="26" spans="2:10" ht="140.1" customHeight="1">
      <c r="B26" s="18"/>
      <c r="C26" s="95"/>
      <c r="D26" s="166" t="str">
        <f ca="1">uxb_scores_2008!C26</f>
        <v>Level of competition</v>
      </c>
      <c r="E26" s="123">
        <f ca="1">OFFSET(uxb_scores_2008!I26,0,uxb_globals!$B$3)</f>
        <v>3</v>
      </c>
      <c r="F26" s="123">
        <f ca="1">OFFSET(uxb_scores_2007!I26,0,uxb_globals!$B$3)</f>
        <v>3</v>
      </c>
      <c r="G26" s="123">
        <f ca="1">IF(F26&lt;0,0,IF(ROUND(E26,1)=ROUND(F26,1),0,IF(E26&gt;F26,1,-1)))</f>
        <v>0</v>
      </c>
      <c r="H26" s="198" t="str">
        <f ca="1">IF(F26&lt;0,"new",IF(G26=0,"-",IF(G26=1,CONCATENATE("+",TEXT(E26-F26,"0.0")),CONCATENATE("-",TEXT(ABS(E26-F26),"0.0")))))</f>
        <v>-</v>
      </c>
      <c r="I26" s="124"/>
      <c r="J26" s="125" t="str">
        <f ca="1">OFFSET(uxb_scores_2008!I59,0,uxb_globals!$B$3)</f>
        <v>Peru's market remains highly active and very large by regional standards, receiving an HHI value of 759 (similar to last year's HHI of 781). (All figures for HHI calculations were supplied by Sergio Navajas and Paola Andrea Pedroza of the IDB in August 2008).</v>
      </c>
    </row>
    <row r="27" spans="2:10">
      <c r="C27" s="95"/>
    </row>
    <row r="28" spans="2:10">
      <c r="C28" s="95"/>
    </row>
    <row r="29" spans="2:10">
      <c r="C29" s="95"/>
    </row>
    <row r="30" spans="2:10">
      <c r="C30" s="95"/>
    </row>
    <row r="31" spans="2:10">
      <c r="C31" s="95"/>
    </row>
    <row r="32" spans="2:10">
      <c r="C32" s="95"/>
    </row>
    <row r="33" spans="3:3">
      <c r="C33" s="95"/>
    </row>
    <row r="34" spans="3:3">
      <c r="C34" s="95"/>
    </row>
  </sheetData>
  <phoneticPr fontId="2" type="noConversion"/>
  <conditionalFormatting sqref="H9:H13 H15:H21 H23:H26">
    <cfRule type="expression" dxfId="15" priority="5" stopIfTrue="1">
      <formula>$G9=-1</formula>
    </cfRule>
    <cfRule type="expression" dxfId="14" priority="6" stopIfTrue="1">
      <formula>$G9=1</formula>
    </cfRule>
  </conditionalFormatting>
  <conditionalFormatting sqref="H3:H6">
    <cfRule type="expression" dxfId="13" priority="3" stopIfTrue="1">
      <formula>$G3=-1</formula>
    </cfRule>
    <cfRule type="expression" dxfId="12" priority="4" stopIfTrue="1">
      <formula>$G3=1</formula>
    </cfRule>
  </conditionalFormatting>
  <conditionalFormatting sqref="H4:H6">
    <cfRule type="expression" dxfId="11" priority="1" stopIfTrue="1">
      <formula>$G4=-1</formula>
    </cfRule>
    <cfRule type="expression" dxfId="10" priority="2" stopIfTrue="1">
      <formula>$G4=1</formula>
    </cfRule>
  </conditionalFormatting>
  <hyperlinks>
    <hyperlink ref="D4" location="Country_profile!C9" display="Country_profile!C9"/>
    <hyperlink ref="D5" location="Country_profile!C15" display="Country_profile!C15"/>
    <hyperlink ref="D6" location="Country_profile!C23" display="Country_profile!C23"/>
  </hyperlinks>
  <printOptions horizontalCentered="1" verticalCentered="1"/>
  <pageMargins left="0.74803149606299213" right="0.74803149606299213" top="0.59055118110236227" bottom="0.59055118110236227" header="0.51181102362204722" footer="0.51181102362204722"/>
  <pageSetup scale="64" fitToHeight="0" orientation="portrait"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sheetPr codeName="Sheet12">
    <pageSetUpPr fitToPage="1"/>
  </sheetPr>
  <dimension ref="A1:CA29"/>
  <sheetViews>
    <sheetView showGridLines="0" showRowColHeaders="0" workbookViewId="0">
      <selection activeCell="I5" sqref="I5"/>
    </sheetView>
  </sheetViews>
  <sheetFormatPr defaultRowHeight="12.75"/>
  <cols>
    <col min="1" max="1" width="2.140625" customWidth="1"/>
    <col min="2" max="2" width="3.7109375" customWidth="1"/>
    <col min="3" max="3" width="2.7109375" customWidth="1"/>
    <col min="4" max="4" width="18.140625" bestFit="1" customWidth="1"/>
    <col min="5" max="5" width="15.42578125" bestFit="1" customWidth="1"/>
    <col min="7" max="7" width="2.140625" customWidth="1"/>
    <col min="8" max="8" width="2.5703125" customWidth="1"/>
    <col min="9" max="9" width="41.28515625" customWidth="1"/>
    <col min="10" max="13" width="10.7109375" customWidth="1"/>
  </cols>
  <sheetData>
    <row r="1" spans="1:79" s="9" customFormat="1" ht="21" customHeight="1">
      <c r="A1" s="21" t="s">
        <v>543</v>
      </c>
      <c r="B1" s="21"/>
      <c r="C1" s="21"/>
      <c r="D1" s="7"/>
      <c r="E1" s="7"/>
      <c r="F1" s="7"/>
      <c r="G1" s="7"/>
      <c r="H1" s="7"/>
      <c r="I1" s="7"/>
      <c r="J1" s="7"/>
      <c r="K1" s="7"/>
      <c r="L1" s="7"/>
      <c r="M1" s="7"/>
      <c r="N1" s="7"/>
      <c r="O1" s="7"/>
      <c r="P1" s="7"/>
      <c r="Q1" s="7"/>
      <c r="R1" s="7"/>
      <c r="S1" s="7"/>
      <c r="T1" s="7"/>
      <c r="U1" s="7"/>
      <c r="V1" s="7"/>
      <c r="W1" s="7"/>
      <c r="X1" s="7"/>
      <c r="AN1" s="10"/>
      <c r="AO1" s="10"/>
      <c r="AP1" s="10"/>
      <c r="AQ1" s="10"/>
      <c r="AT1" s="11"/>
      <c r="AU1" s="11"/>
      <c r="AV1" s="11"/>
      <c r="AW1" s="11"/>
      <c r="AX1" s="11"/>
      <c r="AY1" s="11"/>
      <c r="AZ1" s="11"/>
      <c r="BA1" s="11"/>
      <c r="BB1" s="11"/>
      <c r="BC1" s="11"/>
      <c r="BE1" s="11"/>
      <c r="BF1" s="11"/>
      <c r="BG1" s="11"/>
      <c r="BH1" s="11"/>
      <c r="BI1" s="11"/>
      <c r="BJ1" s="11"/>
      <c r="BK1" s="11"/>
      <c r="BL1" s="11"/>
      <c r="BM1" s="11"/>
      <c r="BN1" s="11"/>
      <c r="BO1" s="11"/>
      <c r="BQ1" s="11"/>
      <c r="BR1" s="11"/>
      <c r="BS1" s="11"/>
      <c r="BT1" s="11"/>
      <c r="BU1" s="11"/>
      <c r="BV1" s="11"/>
      <c r="BW1" s="11"/>
      <c r="BX1" s="11"/>
      <c r="BY1" s="11"/>
      <c r="BZ1" s="11"/>
      <c r="CA1" s="11"/>
    </row>
    <row r="3" spans="1:79" ht="15" customHeight="1">
      <c r="C3" s="126" t="s">
        <v>484</v>
      </c>
      <c r="D3" s="126"/>
      <c r="E3" s="94"/>
      <c r="F3" s="94"/>
    </row>
    <row r="4" spans="1:79" ht="17.25" customHeight="1">
      <c r="C4" s="130">
        <v>1</v>
      </c>
      <c r="D4" s="128" t="str">
        <f ca="1">uxb_ranking!AI37</f>
        <v>Peru</v>
      </c>
      <c r="E4" s="131" t="str">
        <f ca="1">REPT("|",F4/2)</f>
        <v>||||||||||||||||||||||||||||||||||||||</v>
      </c>
      <c r="F4" s="132">
        <f ca="1">uxb_ranking!AP37</f>
        <v>76.599999999999994</v>
      </c>
      <c r="I4" s="189"/>
    </row>
    <row r="5" spans="1:79" ht="17.25" customHeight="1">
      <c r="C5" s="130">
        <v>2</v>
      </c>
      <c r="D5" s="128" t="str">
        <f ca="1">uxb_ranking!AI38</f>
        <v>Ecuador</v>
      </c>
      <c r="E5" s="131" t="str">
        <f ca="1">REPT("|",F5/2)</f>
        <v>||||||||||||||||||||||||||||||||||</v>
      </c>
      <c r="F5" s="132">
        <f ca="1">uxb_ranking!AP38</f>
        <v>69.7</v>
      </c>
    </row>
    <row r="6" spans="1:79" ht="17.25" customHeight="1">
      <c r="C6" s="130">
        <v>3</v>
      </c>
      <c r="D6" s="128" t="str">
        <f ca="1">uxb_ranking!AI39</f>
        <v>Guatemala</v>
      </c>
      <c r="E6" s="131" t="str">
        <f ca="1">REPT("|",F6/2)</f>
        <v>|||||||||||||||||||||||||||</v>
      </c>
      <c r="F6" s="132">
        <f ca="1">uxb_ranking!AP39</f>
        <v>54</v>
      </c>
    </row>
    <row r="7" spans="1:79" ht="17.25" customHeight="1">
      <c r="C7" s="130">
        <v>4</v>
      </c>
      <c r="D7" s="128" t="str">
        <f ca="1">uxb_ranking!AI40</f>
        <v>Costa Rica</v>
      </c>
      <c r="E7" s="131" t="str">
        <f ca="1">REPT("|",F7/2)</f>
        <v>||||||||||||||||||||</v>
      </c>
      <c r="F7" s="132">
        <f ca="1">uxb_ranking!AP40</f>
        <v>40.299999999999997</v>
      </c>
    </row>
    <row r="10" spans="1:79">
      <c r="C10" s="16" t="str">
        <f ca="1">uxb_scores_2007!C4</f>
        <v xml:space="preserve">Regulatory Framework </v>
      </c>
      <c r="D10" s="16"/>
      <c r="E10" s="18"/>
      <c r="F10" s="18"/>
      <c r="I10" s="158" t="str">
        <f ca="1">uxb_scores_2007!C11</f>
        <v xml:space="preserve">Regulatory Framework </v>
      </c>
      <c r="J10" s="160" t="str">
        <f ca="1">uxb_globals!C24</f>
        <v>Peru</v>
      </c>
      <c r="K10" s="160" t="str">
        <f ca="1">uxb_globals!C25</f>
        <v>Costa Rica</v>
      </c>
      <c r="L10" s="160" t="str">
        <f ca="1">uxb_globals!C26</f>
        <v>Ecuador</v>
      </c>
      <c r="M10" s="160" t="str">
        <f ca="1">uxb_globals!C27</f>
        <v>Guatemala</v>
      </c>
    </row>
    <row r="11" spans="1:79">
      <c r="C11" s="130">
        <v>1</v>
      </c>
      <c r="D11" s="128" t="str">
        <f ca="1">uxb_ranking!AJ37</f>
        <v>Peru</v>
      </c>
      <c r="E11" s="129" t="str">
        <f ca="1">REPT("|",F11/2)</f>
        <v>|||||||||||||||||||||||||||||||||||||||||||</v>
      </c>
      <c r="F11" s="143">
        <f ca="1">uxb_ranking!AQ37</f>
        <v>87.5</v>
      </c>
      <c r="I11" s="156" t="str">
        <f ca="1">uxb_scores_2007!C12</f>
        <v>Regulation of microcredit operations</v>
      </c>
      <c r="J11" s="127">
        <f ca="1">IF(J$10="","",OFFSET(uxb_scores_2008!$I12,0,uxb_globals!$B$18))</f>
        <v>4</v>
      </c>
      <c r="K11" s="127">
        <f ca="1">IF(K$10="","",OFFSET(uxb_scores_2008!$I12,0,uxb_globals!$B$19))</f>
        <v>2</v>
      </c>
      <c r="L11" s="127">
        <f ca="1">IF(L$10="","",OFFSET(uxb_scores_2008!$I12,0,uxb_globals!$B$20))</f>
        <v>3</v>
      </c>
      <c r="M11" s="127">
        <f ca="1">IF(M$10="","",OFFSET(uxb_scores_2008!$I12,0,uxb_globals!$B$21))</f>
        <v>3</v>
      </c>
    </row>
    <row r="12" spans="1:79">
      <c r="C12" s="130">
        <v>2</v>
      </c>
      <c r="D12" s="128" t="str">
        <f ca="1">uxb_ranking!AJ38</f>
        <v>Ecuador</v>
      </c>
      <c r="E12" s="129" t="str">
        <f ca="1">REPT("|",F12/2)</f>
        <v>|||||||||||||||||||||||||||||||||||||</v>
      </c>
      <c r="F12" s="143">
        <f ca="1">uxb_ranking!AQ38</f>
        <v>75</v>
      </c>
      <c r="I12" s="157" t="str">
        <f ca="1">uxb_scores_2007!C13</f>
        <v>Formation and operation of regulated/supervised specialised MFIs</v>
      </c>
      <c r="J12" s="3">
        <f ca="1">IF(J$10="","",OFFSET(uxb_scores_2008!$I13,0,uxb_globals!$B$18))</f>
        <v>4</v>
      </c>
      <c r="K12" s="3">
        <f ca="1">IF(K$10="","",OFFSET(uxb_scores_2008!$I13,0,uxb_globals!$B$19))</f>
        <v>1</v>
      </c>
      <c r="L12" s="3">
        <f ca="1">IF(L$10="","",OFFSET(uxb_scores_2008!$I13,0,uxb_globals!$B$20))</f>
        <v>3</v>
      </c>
      <c r="M12" s="3">
        <f ca="1">IF(M$10="","",OFFSET(uxb_scores_2008!$I13,0,uxb_globals!$B$21))</f>
        <v>1</v>
      </c>
    </row>
    <row r="13" spans="1:79">
      <c r="C13" s="130">
        <v>3</v>
      </c>
      <c r="D13" s="128" t="str">
        <f ca="1">uxb_ranking!AJ39</f>
        <v>Guatemala</v>
      </c>
      <c r="E13" s="129" t="str">
        <f ca="1">REPT("|",F13/2)</f>
        <v>||||||||||||||||||||||||||||</v>
      </c>
      <c r="F13" s="143">
        <f ca="1">uxb_ranking!AQ39</f>
        <v>56.3</v>
      </c>
      <c r="I13" s="156" t="str">
        <f ca="1">uxb_scores_2007!C14</f>
        <v>Formation and operation of non-regulated MFIs</v>
      </c>
      <c r="J13" s="127">
        <f ca="1">IF(J$10="","",OFFSET(uxb_scores_2008!$I14,0,uxb_globals!$B$18))</f>
        <v>2</v>
      </c>
      <c r="K13" s="127">
        <f ca="1">IF(K$10="","",OFFSET(uxb_scores_2008!$I14,0,uxb_globals!$B$19))</f>
        <v>2</v>
      </c>
      <c r="L13" s="127">
        <f ca="1">IF(L$10="","",OFFSET(uxb_scores_2008!$I14,0,uxb_globals!$B$20))</f>
        <v>3</v>
      </c>
      <c r="M13" s="127">
        <f ca="1">IF(M$10="","",OFFSET(uxb_scores_2008!$I14,0,uxb_globals!$B$21))</f>
        <v>4</v>
      </c>
    </row>
    <row r="14" spans="1:79">
      <c r="C14" s="130">
        <v>4</v>
      </c>
      <c r="D14" s="128" t="str">
        <f ca="1">uxb_ranking!AJ40</f>
        <v>Costa Rica</v>
      </c>
      <c r="E14" s="129" t="str">
        <f ca="1">REPT("|",F14/2)</f>
        <v>||||||||||||||||||</v>
      </c>
      <c r="F14" s="143">
        <f ca="1">uxb_ranking!AQ40</f>
        <v>37.5</v>
      </c>
      <c r="I14" s="157" t="str">
        <f ca="1">uxb_scores_2007!C15</f>
        <v>Regulatory and examination capacity</v>
      </c>
      <c r="J14" s="3">
        <f ca="1">IF(J$10="","",OFFSET(uxb_scores_2008!$I15,0,uxb_globals!$B$18))</f>
        <v>4</v>
      </c>
      <c r="K14" s="3">
        <f ca="1">IF(K$10="","",OFFSET(uxb_scores_2008!$I15,0,uxb_globals!$B$19))</f>
        <v>1</v>
      </c>
      <c r="L14" s="3">
        <f ca="1">IF(L$10="","",OFFSET(uxb_scores_2008!$I15,0,uxb_globals!$B$20))</f>
        <v>3</v>
      </c>
      <c r="M14" s="3">
        <f ca="1">IF(M$10="","",OFFSET(uxb_scores_2008!$I15,0,uxb_globals!$B$21))</f>
        <v>1</v>
      </c>
    </row>
    <row r="15" spans="1:79">
      <c r="J15" s="3"/>
      <c r="K15" s="3"/>
      <c r="L15" s="3"/>
      <c r="M15" s="3"/>
    </row>
    <row r="16" spans="1:79">
      <c r="J16" s="3"/>
      <c r="K16" s="3"/>
      <c r="L16" s="3"/>
      <c r="M16" s="3"/>
    </row>
    <row r="17" spans="3:13">
      <c r="C17" s="16" t="str">
        <f ca="1">uxb_scores_2007!C5</f>
        <v>Investment Climate</v>
      </c>
      <c r="D17" s="16"/>
      <c r="E17" s="18"/>
      <c r="F17" s="18"/>
      <c r="I17" s="159" t="str">
        <f ca="1">uxb_scores_2007!C16</f>
        <v>Investment Climate</v>
      </c>
      <c r="J17" s="160" t="str">
        <f>J10</f>
        <v>Peru</v>
      </c>
      <c r="K17" s="160" t="str">
        <f>K10</f>
        <v>Costa Rica</v>
      </c>
      <c r="L17" s="160" t="str">
        <f>L10</f>
        <v>Ecuador</v>
      </c>
      <c r="M17" s="160" t="str">
        <f>M10</f>
        <v>Guatemala</v>
      </c>
    </row>
    <row r="18" spans="3:13">
      <c r="C18" s="130">
        <v>1</v>
      </c>
      <c r="D18" s="128" t="str">
        <f ca="1">uxb_ranking!AK37</f>
        <v>Costa Rica</v>
      </c>
      <c r="E18" s="129" t="str">
        <f t="shared" ref="E18:E29" ca="1" si="0">REPT("|",F18/2)</f>
        <v>|||||||||||||||||||||||||||||</v>
      </c>
      <c r="F18" s="143">
        <f ca="1">uxb_ranking!AR37</f>
        <v>59.7</v>
      </c>
      <c r="I18" s="156" t="str">
        <f ca="1">uxb_scores_2007!C17</f>
        <v>Political stability</v>
      </c>
      <c r="J18" s="127">
        <f ca="1">IF(J$10="","",OFFSET(uxb_scores_2008!I17,0,uxb_globals!$B$18))</f>
        <v>2.2000000000000002</v>
      </c>
      <c r="K18" s="127">
        <f ca="1">IF(K$10="","",OFFSET(uxb_scores_2008!I17,0,uxb_globals!$B$19))</f>
        <v>3.6</v>
      </c>
      <c r="L18" s="127">
        <f ca="1">IF(L$10="","",OFFSET(uxb_scores_2008!I17,0,uxb_globals!$B$20))</f>
        <v>0.8</v>
      </c>
      <c r="M18" s="127">
        <f ca="1">IF(M$10="","",OFFSET(uxb_scores_2008!I17,0,uxb_globals!$B$21))</f>
        <v>1.6</v>
      </c>
    </row>
    <row r="19" spans="3:13">
      <c r="C19" s="130">
        <v>2</v>
      </c>
      <c r="D19" s="128" t="str">
        <f ca="1">uxb_ranking!AK38</f>
        <v>Peru</v>
      </c>
      <c r="E19" s="129" t="str">
        <f t="shared" ca="1" si="0"/>
        <v>|||||||||||||||||||||||||||||</v>
      </c>
      <c r="F19" s="143">
        <f ca="1">uxb_ranking!AR38</f>
        <v>58</v>
      </c>
      <c r="I19" s="157" t="str">
        <f ca="1">uxb_scores_2007!C18</f>
        <v>Capital market development</v>
      </c>
      <c r="J19" s="3">
        <f ca="1">IF(J$10="","",OFFSET(uxb_scores_2008!I18,0,uxb_globals!$B$18))</f>
        <v>2.4</v>
      </c>
      <c r="K19" s="3">
        <f ca="1">IF(K$10="","",OFFSET(uxb_scores_2008!I18,0,uxb_globals!$B$19))</f>
        <v>2.4</v>
      </c>
      <c r="L19" s="3">
        <f ca="1">IF(L$10="","",OFFSET(uxb_scores_2008!I18,0,uxb_globals!$B$20))</f>
        <v>0.8</v>
      </c>
      <c r="M19" s="3">
        <f ca="1">IF(M$10="","",OFFSET(uxb_scores_2008!I18,0,uxb_globals!$B$21))</f>
        <v>1.2</v>
      </c>
    </row>
    <row r="20" spans="3:13">
      <c r="C20" s="130">
        <v>3</v>
      </c>
      <c r="D20" s="128" t="str">
        <f ca="1">uxb_ranking!AK39</f>
        <v>Guatemala</v>
      </c>
      <c r="E20" s="129" t="str">
        <f t="shared" ca="1" si="0"/>
        <v>||||||||||||||||||||</v>
      </c>
      <c r="F20" s="143">
        <f ca="1">uxb_ranking!AR39</f>
        <v>40.799999999999997</v>
      </c>
      <c r="I20" s="156" t="str">
        <f ca="1">uxb_scores_2007!C19</f>
        <v>Judicial system</v>
      </c>
      <c r="J20" s="127">
        <f ca="1">IF(J$10="","",OFFSET(uxb_scores_2008!I19,0,uxb_globals!$B$18))</f>
        <v>0.33</v>
      </c>
      <c r="K20" s="127">
        <f ca="1">IF(K$10="","",OFFSET(uxb_scores_2008!I19,0,uxb_globals!$B$19))</f>
        <v>2.33</v>
      </c>
      <c r="L20" s="127">
        <f ca="1">IF(L$10="","",OFFSET(uxb_scores_2008!I19,0,uxb_globals!$B$20))</f>
        <v>0</v>
      </c>
      <c r="M20" s="127">
        <f ca="1">IF(M$10="","",OFFSET(uxb_scores_2008!I19,0,uxb_globals!$B$21))</f>
        <v>1</v>
      </c>
    </row>
    <row r="21" spans="3:13">
      <c r="C21" s="130">
        <v>4</v>
      </c>
      <c r="D21" s="128" t="str">
        <f ca="1">uxb_ranking!AK40</f>
        <v>Ecuador</v>
      </c>
      <c r="E21" s="129" t="str">
        <f t="shared" ca="1" si="0"/>
        <v>|||||||||||||||</v>
      </c>
      <c r="F21" s="143">
        <f ca="1">uxb_ranking!AR40</f>
        <v>31.7</v>
      </c>
      <c r="I21" s="157" t="str">
        <f ca="1">uxb_scores_2007!C20</f>
        <v>Accounting standards</v>
      </c>
      <c r="J21" s="3">
        <f ca="1">IF(J$10="","",OFFSET(uxb_scores_2008!I20,0,uxb_globals!$B$18))</f>
        <v>3</v>
      </c>
      <c r="K21" s="3">
        <f ca="1">IF(K$10="","",OFFSET(uxb_scores_2008!I20,0,uxb_globals!$B$19))</f>
        <v>2</v>
      </c>
      <c r="L21" s="3">
        <f ca="1">IF(L$10="","",OFFSET(uxb_scores_2008!I20,0,uxb_globals!$B$20))</f>
        <v>3</v>
      </c>
      <c r="M21" s="3">
        <f ca="1">IF(M$10="","",OFFSET(uxb_scores_2008!I20,0,uxb_globals!$B$21))</f>
        <v>3</v>
      </c>
    </row>
    <row r="22" spans="3:13">
      <c r="E22" s="112"/>
      <c r="I22" s="156" t="str">
        <f ca="1">uxb_scores_2007!C21</f>
        <v>Governance standards</v>
      </c>
      <c r="J22" s="127">
        <f ca="1">IF(J$10="","",OFFSET(uxb_scores_2008!I21,0,uxb_globals!$B$18))</f>
        <v>3</v>
      </c>
      <c r="K22" s="127">
        <f ca="1">IF(K$10="","",OFFSET(uxb_scores_2008!I21,0,uxb_globals!$B$19))</f>
        <v>2</v>
      </c>
      <c r="L22" s="127">
        <f ca="1">IF(L$10="","",OFFSET(uxb_scores_2008!I21,0,uxb_globals!$B$20))</f>
        <v>1</v>
      </c>
      <c r="M22" s="127">
        <f ca="1">IF(M$10="","",OFFSET(uxb_scores_2008!I21,0,uxb_globals!$B$21))</f>
        <v>1</v>
      </c>
    </row>
    <row r="23" spans="3:13">
      <c r="E23" s="112"/>
      <c r="I23" s="157" t="str">
        <f ca="1">uxb_scores_2007!C22</f>
        <v>MFI transparency</v>
      </c>
      <c r="J23" s="3">
        <f ca="1">IF(J$10="","",OFFSET(uxb_scores_2008!I22,0,uxb_globals!$B$18))</f>
        <v>3</v>
      </c>
      <c r="K23" s="3">
        <f ca="1">IF(K$10="","",OFFSET(uxb_scores_2008!I22,0,uxb_globals!$B$19))</f>
        <v>2</v>
      </c>
      <c r="L23" s="3">
        <f ca="1">IF(L$10="","",OFFSET(uxb_scores_2008!I22,0,uxb_globals!$B$20))</f>
        <v>2</v>
      </c>
      <c r="M23" s="3">
        <f ca="1">IF(M$10="","",OFFSET(uxb_scores_2008!I22,0,uxb_globals!$B$21))</f>
        <v>2</v>
      </c>
    </row>
    <row r="24" spans="3:13" ht="23.25" customHeight="1">
      <c r="E24" s="112"/>
      <c r="I24" s="38"/>
      <c r="J24" s="3"/>
      <c r="K24" s="3"/>
      <c r="L24" s="3"/>
      <c r="M24" s="3"/>
    </row>
    <row r="25" spans="3:13">
      <c r="C25" s="16" t="str">
        <f ca="1">uxb_scores_2007!C6</f>
        <v>Institutional Development</v>
      </c>
      <c r="D25" s="16"/>
      <c r="E25" s="18"/>
      <c r="F25" s="18"/>
      <c r="I25" s="159" t="str">
        <f ca="1">uxb_scores_2007!C23</f>
        <v>Institutional Development</v>
      </c>
      <c r="J25" s="160" t="str">
        <f ca="1">J10</f>
        <v>Peru</v>
      </c>
      <c r="K25" s="160" t="str">
        <f ca="1">K10</f>
        <v>Costa Rica</v>
      </c>
      <c r="L25" s="160" t="str">
        <f ca="1">L10</f>
        <v>Ecuador</v>
      </c>
      <c r="M25" s="160" t="str">
        <f ca="1">M10</f>
        <v>Guatemala</v>
      </c>
    </row>
    <row r="26" spans="3:13">
      <c r="C26" s="130">
        <v>1</v>
      </c>
      <c r="D26" s="128" t="str">
        <f ca="1">uxb_ranking!AL37</f>
        <v>Ecuador</v>
      </c>
      <c r="E26" s="129" t="str">
        <f t="shared" ca="1" si="0"/>
        <v>|||||||||||||||||||||||||||||||||||||||||</v>
      </c>
      <c r="F26" s="143">
        <f ca="1">uxb_ranking!AS37</f>
        <v>83.3</v>
      </c>
      <c r="I26" s="156" t="str">
        <f ca="1">uxb_scores_2007!C24</f>
        <v>Range of MFI Services</v>
      </c>
      <c r="J26" s="127">
        <f ca="1">IF(J$10="","",OFFSET(uxb_scores_2008!I24,0,uxb_globals!$B$18))</f>
        <v>3</v>
      </c>
      <c r="K26" s="127">
        <f ca="1">IF(K$10="","",OFFSET(uxb_scores_2008!I24,0,uxb_globals!$B$19))</f>
        <v>2</v>
      </c>
      <c r="L26" s="127">
        <f ca="1">IF(L$10="","",OFFSET(uxb_scores_2008!I24,0,uxb_globals!$B$20))</f>
        <v>3</v>
      </c>
      <c r="M26" s="127">
        <f ca="1">IF(M$10="","",OFFSET(uxb_scores_2008!I24,0,uxb_globals!$B$21))</f>
        <v>2</v>
      </c>
    </row>
    <row r="27" spans="3:13">
      <c r="C27" s="130">
        <v>2</v>
      </c>
      <c r="D27" s="128" t="str">
        <f ca="1">uxb_ranking!AL38</f>
        <v>Peru</v>
      </c>
      <c r="E27" s="129" t="str">
        <f t="shared" ca="1" si="0"/>
        <v>|||||||||||||||||||||||||||||||||||||</v>
      </c>
      <c r="F27" s="143">
        <f ca="1">uxb_ranking!AS38</f>
        <v>75</v>
      </c>
      <c r="I27" s="157" t="str">
        <f ca="1">uxb_scores_2007!C25</f>
        <v>Credit bureaus</v>
      </c>
      <c r="J27" s="3">
        <f ca="1">IF(J$10="","",OFFSET(uxb_scores_2008!I25,0,uxb_globals!$B$18))</f>
        <v>3</v>
      </c>
      <c r="K27" s="3">
        <f ca="1">IF(K$10="","",OFFSET(uxb_scores_2008!I25,0,uxb_globals!$B$19))</f>
        <v>2</v>
      </c>
      <c r="L27" s="3">
        <f ca="1">IF(L$10="","",OFFSET(uxb_scores_2008!I25,0,uxb_globals!$B$20))</f>
        <v>4</v>
      </c>
      <c r="M27" s="3">
        <f ca="1">IF(M$10="","",OFFSET(uxb_scores_2008!I25,0,uxb_globals!$B$21))</f>
        <v>2</v>
      </c>
    </row>
    <row r="28" spans="3:13">
      <c r="C28" s="130">
        <v>3</v>
      </c>
      <c r="D28" s="128" t="str">
        <f ca="1">uxb_ranking!AL39</f>
        <v>Guatemala</v>
      </c>
      <c r="E28" s="129" t="str">
        <f t="shared" ca="1" si="0"/>
        <v>|||||||||||||||||||||||||||||</v>
      </c>
      <c r="F28" s="143">
        <f ca="1">uxb_ranking!AS39</f>
        <v>58.3</v>
      </c>
      <c r="I28" s="156" t="str">
        <f ca="1">uxb_scores_2007!C26</f>
        <v>Level of competition</v>
      </c>
      <c r="J28" s="127">
        <f ca="1">IF(J$10="","",OFFSET(uxb_scores_2008!I26,0,uxb_globals!$B$18))</f>
        <v>3</v>
      </c>
      <c r="K28" s="127">
        <f ca="1">IF(K$10="","",OFFSET(uxb_scores_2008!I26,0,uxb_globals!$B$19))</f>
        <v>0</v>
      </c>
      <c r="L28" s="127">
        <f ca="1">IF(L$10="","",OFFSET(uxb_scores_2008!I26,0,uxb_globals!$B$20))</f>
        <v>3</v>
      </c>
      <c r="M28" s="127">
        <f ca="1">IF(M$10="","",OFFSET(uxb_scores_2008!I26,0,uxb_globals!$B$21))</f>
        <v>3</v>
      </c>
    </row>
    <row r="29" spans="3:13">
      <c r="C29" s="130">
        <v>4</v>
      </c>
      <c r="D29" s="128" t="str">
        <f ca="1">uxb_ranking!AL40</f>
        <v>Costa Rica</v>
      </c>
      <c r="E29" s="129" t="str">
        <f t="shared" ca="1" si="0"/>
        <v>||||||||||||||||</v>
      </c>
      <c r="F29" s="143">
        <f ca="1">uxb_ranking!AS40</f>
        <v>33.299999999999997</v>
      </c>
    </row>
  </sheetData>
  <phoneticPr fontId="2" type="noConversion"/>
  <conditionalFormatting sqref="C4:C7 C11:C14 C18:C21 C26:C29">
    <cfRule type="expression" dxfId="9" priority="1" stopIfTrue="1">
      <formula>$D4="&lt;none&gt;"</formula>
    </cfRule>
  </conditionalFormatting>
  <conditionalFormatting sqref="D4:D7 D11:D14 D18:D21 D26:D29">
    <cfRule type="cellIs" dxfId="8" priority="2" stopIfTrue="1" operator="equal">
      <formula>"&lt;none&gt;"</formula>
    </cfRule>
  </conditionalFormatting>
  <conditionalFormatting sqref="E4:F7 E11:F14 E18:F21 E26:F29">
    <cfRule type="expression" dxfId="7" priority="3" stopIfTrue="1">
      <formula>$D4="&lt;none&gt;"</formula>
    </cfRule>
  </conditionalFormatting>
  <pageMargins left="0.74803149606299213" right="0.74803149606299213" top="0.78740157480314965" bottom="0.78740157480314965" header="0.51181102362204722" footer="0.51181102362204722"/>
  <pageSetup scale="84" orientation="landscape" r:id="rId1"/>
  <headerFooter alignWithMargins="0"/>
  <drawing r:id="rId2"/>
  <legacyDrawing r:id="rId3"/>
</worksheet>
</file>

<file path=xl/worksheets/sheet23.xml><?xml version="1.0" encoding="utf-8"?>
<worksheet xmlns="http://schemas.openxmlformats.org/spreadsheetml/2006/main" xmlns:r="http://schemas.openxmlformats.org/officeDocument/2006/relationships">
  <sheetPr codeName="Sheet6">
    <pageSetUpPr fitToPage="1"/>
  </sheetPr>
  <dimension ref="A1:CA28"/>
  <sheetViews>
    <sheetView showGridLines="0" showRowColHeaders="0" workbookViewId="0">
      <selection activeCell="G12" sqref="G12"/>
    </sheetView>
  </sheetViews>
  <sheetFormatPr defaultRowHeight="12.75"/>
  <cols>
    <col min="1" max="1" width="4.28515625" customWidth="1"/>
    <col min="2" max="2" width="47.42578125" customWidth="1"/>
    <col min="5" max="5" width="1.5703125" customWidth="1"/>
    <col min="6" max="6" width="16.28515625" customWidth="1"/>
    <col min="7" max="7" width="7" customWidth="1"/>
    <col min="8" max="8" width="2" customWidth="1"/>
    <col min="9" max="9" width="3.42578125" customWidth="1"/>
    <col min="10" max="10" width="14.7109375" bestFit="1" customWidth="1"/>
  </cols>
  <sheetData>
    <row r="1" spans="1:79" s="9" customFormat="1" ht="21" customHeight="1">
      <c r="A1" s="21" t="s">
        <v>467</v>
      </c>
      <c r="B1" s="7"/>
      <c r="C1" s="7"/>
      <c r="D1" s="7"/>
      <c r="E1" s="7"/>
      <c r="F1" s="7"/>
      <c r="G1" s="7"/>
      <c r="H1" s="7"/>
      <c r="I1" s="7"/>
      <c r="J1" s="7"/>
      <c r="K1" s="7"/>
      <c r="L1" s="7"/>
      <c r="M1" s="7"/>
      <c r="N1" s="7"/>
      <c r="O1" s="7"/>
      <c r="P1" s="8"/>
      <c r="Q1" s="7"/>
      <c r="R1" s="7"/>
      <c r="T1" s="7"/>
      <c r="U1" s="7"/>
      <c r="W1" s="7"/>
      <c r="X1" s="7"/>
      <c r="AN1" s="10"/>
      <c r="AO1" s="10"/>
      <c r="AP1" s="10"/>
      <c r="AQ1" s="10"/>
      <c r="AT1" s="11"/>
      <c r="AU1" s="11"/>
      <c r="AV1" s="11"/>
      <c r="AW1" s="11"/>
      <c r="AX1" s="11"/>
      <c r="AY1" s="11"/>
      <c r="AZ1" s="11"/>
      <c r="BA1" s="11"/>
      <c r="BB1" s="11"/>
      <c r="BC1" s="11"/>
      <c r="BE1" s="11"/>
      <c r="BF1" s="11"/>
      <c r="BG1" s="11"/>
      <c r="BH1" s="11"/>
      <c r="BI1" s="11"/>
      <c r="BJ1" s="11"/>
      <c r="BK1" s="11"/>
      <c r="BL1" s="11"/>
      <c r="BM1" s="11"/>
      <c r="BN1" s="11"/>
      <c r="BO1" s="11"/>
      <c r="BQ1" s="11"/>
      <c r="BR1" s="11"/>
      <c r="BS1" s="11"/>
      <c r="BT1" s="11"/>
      <c r="BU1" s="11"/>
      <c r="BV1" s="11"/>
      <c r="BW1" s="11"/>
      <c r="BX1" s="11"/>
      <c r="BY1" s="11"/>
      <c r="BZ1" s="11"/>
      <c r="CA1" s="11"/>
    </row>
    <row r="2" spans="1:79" ht="51" customHeight="1"/>
    <row r="3" spans="1:79" ht="12.75" customHeight="1"/>
    <row r="4" spans="1:79" ht="6" customHeight="1"/>
    <row r="5" spans="1:79">
      <c r="B5" s="22"/>
      <c r="C5" s="23" t="s">
        <v>468</v>
      </c>
      <c r="D5" s="22"/>
      <c r="E5" s="22"/>
      <c r="F5" s="22"/>
      <c r="I5" s="19" t="s">
        <v>463</v>
      </c>
      <c r="J5" s="12"/>
      <c r="K5" s="12"/>
    </row>
    <row r="6" spans="1:79">
      <c r="B6" s="24" t="s">
        <v>469</v>
      </c>
      <c r="C6" s="23" t="s">
        <v>470</v>
      </c>
      <c r="D6" s="23" t="s">
        <v>471</v>
      </c>
      <c r="E6" s="25"/>
      <c r="F6" s="25"/>
      <c r="H6" s="106">
        <v>1</v>
      </c>
      <c r="I6" s="13">
        <f ca="1">IF(H6=0,"",uxb_ranking!A8)</f>
        <v>1</v>
      </c>
      <c r="J6" s="14" t="str">
        <f ca="1">uxb_ranking!AI8</f>
        <v>Peru</v>
      </c>
      <c r="K6" s="15">
        <f ca="1">uxb_ranking!AP8</f>
        <v>76.599999999999994</v>
      </c>
    </row>
    <row r="7" spans="1:79">
      <c r="B7" s="26" t="str">
        <f ca="1">uxb_scores_2007!C4</f>
        <v xml:space="preserve">Regulatory Framework </v>
      </c>
      <c r="C7" s="27">
        <v>4</v>
      </c>
      <c r="D7" s="29">
        <f ca="1">uxb_scores_2007!I4</f>
        <v>0.4</v>
      </c>
      <c r="E7" s="28"/>
      <c r="F7" s="35" t="str">
        <f>REPT("|",D7*50)</f>
        <v>||||||||||||||||||||</v>
      </c>
      <c r="H7" s="106">
        <v>1</v>
      </c>
      <c r="I7" s="13">
        <f ca="1">IF(H7=0,"",uxb_ranking!A9)</f>
        <v>2</v>
      </c>
      <c r="J7" s="14" t="str">
        <f ca="1">uxb_ranking!AI9</f>
        <v>Bolivia</v>
      </c>
      <c r="K7" s="15">
        <f ca="1">uxb_ranking!AP9</f>
        <v>74.400000000000006</v>
      </c>
    </row>
    <row r="8" spans="1:79">
      <c r="B8" s="26" t="str">
        <f ca="1">uxb_scores_2007!C5</f>
        <v>Investment Climate</v>
      </c>
      <c r="C8" s="27">
        <v>2</v>
      </c>
      <c r="D8" s="29">
        <f ca="1">uxb_scores_2007!I5</f>
        <v>0.2</v>
      </c>
      <c r="E8" s="28"/>
      <c r="F8" s="35" t="str">
        <f>REPT("|",D8*50)</f>
        <v>||||||||||</v>
      </c>
      <c r="H8" s="106">
        <v>1</v>
      </c>
      <c r="I8" s="13">
        <f ca="1">IF(H8=0,"",uxb_ranking!A10)</f>
        <v>3</v>
      </c>
      <c r="J8" s="14" t="str">
        <f ca="1">uxb_ranking!AI10</f>
        <v>Ecuador</v>
      </c>
      <c r="K8" s="15">
        <f ca="1">uxb_ranking!AP10</f>
        <v>69.7</v>
      </c>
    </row>
    <row r="9" spans="1:79">
      <c r="B9" s="26" t="str">
        <f ca="1">uxb_scores_2007!C6</f>
        <v>Institutional Development</v>
      </c>
      <c r="C9" s="27">
        <v>4</v>
      </c>
      <c r="D9" s="29">
        <f ca="1">uxb_scores_2007!I6</f>
        <v>0.4</v>
      </c>
      <c r="E9" s="28"/>
      <c r="F9" s="35" t="str">
        <f>REPT("|",D9*50)</f>
        <v>||||||||||||||||||||</v>
      </c>
      <c r="H9" s="106">
        <v>1</v>
      </c>
      <c r="I9" s="13">
        <f ca="1">IF(H9=0,"",uxb_ranking!A11)</f>
        <v>4</v>
      </c>
      <c r="J9" s="14" t="str">
        <f ca="1">uxb_ranking!AI11</f>
        <v>El Salvador</v>
      </c>
      <c r="K9" s="15">
        <f ca="1">uxb_ranking!AP11</f>
        <v>59</v>
      </c>
    </row>
    <row r="10" spans="1:79">
      <c r="H10" s="106">
        <v>1</v>
      </c>
      <c r="I10" s="13">
        <f ca="1">IF(H10=0,"",uxb_ranking!A12)</f>
        <v>5</v>
      </c>
      <c r="J10" s="14" t="str">
        <f ca="1">uxb_ranking!AI12</f>
        <v>Colombia</v>
      </c>
      <c r="K10" s="15">
        <f ca="1">uxb_ranking!AP12</f>
        <v>58.6</v>
      </c>
    </row>
    <row r="11" spans="1:79">
      <c r="H11" s="106">
        <v>1</v>
      </c>
      <c r="I11" s="13">
        <f ca="1">IF(H11=0,"",uxb_ranking!A13)</f>
        <v>6</v>
      </c>
      <c r="J11" s="14" t="str">
        <f ca="1">uxb_ranking!AI13</f>
        <v>Nicaragua</v>
      </c>
      <c r="K11" s="15">
        <f ca="1">uxb_ranking!AP13</f>
        <v>58</v>
      </c>
    </row>
    <row r="12" spans="1:79">
      <c r="H12" s="106">
        <v>1</v>
      </c>
      <c r="I12" s="13">
        <f ca="1">IF(H12=0,"",uxb_ranking!A14)</f>
        <v>7</v>
      </c>
      <c r="J12" s="14" t="str">
        <f ca="1">uxb_ranking!AI14</f>
        <v>Guatemala</v>
      </c>
      <c r="K12" s="15">
        <f ca="1">uxb_ranking!AP14</f>
        <v>54</v>
      </c>
    </row>
    <row r="13" spans="1:79">
      <c r="B13" s="167" t="str">
        <f>B7</f>
        <v xml:space="preserve">Regulatory Framework </v>
      </c>
      <c r="C13" s="31"/>
      <c r="D13" s="25"/>
      <c r="E13" s="25"/>
      <c r="F13" s="25"/>
      <c r="H13" s="106">
        <v>1</v>
      </c>
      <c r="I13" s="13">
        <f ca="1">IF(H13=0,"",uxb_ranking!A15)</f>
        <v>8</v>
      </c>
      <c r="J13" s="14" t="str">
        <f ca="1">uxb_ranking!AI15</f>
        <v>Paraguay</v>
      </c>
      <c r="K13" s="15">
        <f ca="1">uxb_ranking!AP15</f>
        <v>49.6</v>
      </c>
    </row>
    <row r="14" spans="1:79">
      <c r="B14" s="168" t="str">
        <f ca="1">uxb_scores_2007!C12</f>
        <v>Regulation of microcredit operations</v>
      </c>
      <c r="C14" s="27">
        <v>1</v>
      </c>
      <c r="D14" s="29">
        <f ca="1">uxb_scores_2007!I12</f>
        <v>0.25</v>
      </c>
      <c r="E14" s="29"/>
      <c r="F14" s="36" t="str">
        <f>REPT("|",D14*50)</f>
        <v>||||||||||||</v>
      </c>
      <c r="H14" s="106">
        <v>1</v>
      </c>
      <c r="I14" s="13">
        <f ca="1">IF(H14=0,"",uxb_ranking!A16)</f>
        <v>9</v>
      </c>
      <c r="J14" s="14" t="str">
        <f ca="1">uxb_ranking!AI16</f>
        <v>Dominican Rep</v>
      </c>
      <c r="K14" s="15">
        <f ca="1">uxb_ranking!AP16</f>
        <v>48</v>
      </c>
    </row>
    <row r="15" spans="1:79">
      <c r="B15" s="168" t="str">
        <f ca="1">uxb_scores_2007!C13</f>
        <v>Formation and operation of regulated/supervised specialised MFIs</v>
      </c>
      <c r="C15" s="27">
        <v>1</v>
      </c>
      <c r="D15" s="29">
        <f ca="1">uxb_scores_2007!I13</f>
        <v>0.25</v>
      </c>
      <c r="E15" s="29"/>
      <c r="F15" s="36" t="str">
        <f t="shared" ref="F15:F28" si="0">REPT("|",D15*50)</f>
        <v>||||||||||||</v>
      </c>
      <c r="H15" s="106">
        <v>1</v>
      </c>
      <c r="I15" s="13">
        <f ca="1">IF(H15=0,"",uxb_ranking!A17)</f>
        <v>10</v>
      </c>
      <c r="J15" s="14" t="str">
        <f ca="1">uxb_ranking!AI17</f>
        <v>Mexico</v>
      </c>
      <c r="K15" s="15">
        <f ca="1">uxb_ranking!AP17</f>
        <v>47.5</v>
      </c>
    </row>
    <row r="16" spans="1:79">
      <c r="B16" s="168" t="str">
        <f ca="1">uxb_scores_2007!C14</f>
        <v>Formation and operation of non-regulated MFIs</v>
      </c>
      <c r="C16" s="27">
        <v>1</v>
      </c>
      <c r="D16" s="29">
        <f ca="1">uxb_scores_2007!I14</f>
        <v>0.25</v>
      </c>
      <c r="E16" s="29"/>
      <c r="F16" s="36" t="str">
        <f t="shared" si="0"/>
        <v>||||||||||||</v>
      </c>
      <c r="H16" s="106">
        <v>1</v>
      </c>
      <c r="I16" s="13">
        <f ca="1">IF(H16=0,"",uxb_ranking!A18)</f>
        <v>11</v>
      </c>
      <c r="J16" s="14" t="str">
        <f ca="1">uxb_ranking!AI18</f>
        <v>Panama</v>
      </c>
      <c r="K16" s="15">
        <f ca="1">uxb_ranking!AP18</f>
        <v>47.5</v>
      </c>
    </row>
    <row r="17" spans="2:11">
      <c r="B17" s="168" t="str">
        <f ca="1">uxb_scores_2007!C15</f>
        <v>Regulatory and examination capacity</v>
      </c>
      <c r="C17" s="27">
        <v>1</v>
      </c>
      <c r="D17" s="29">
        <f ca="1">uxb_scores_2007!I15</f>
        <v>0.25</v>
      </c>
      <c r="E17" s="29"/>
      <c r="F17" s="36" t="str">
        <f t="shared" si="0"/>
        <v>||||||||||||</v>
      </c>
      <c r="H17" s="106">
        <v>1</v>
      </c>
      <c r="I17" s="13">
        <f ca="1">IF(H17=0,"",uxb_ranking!A19)</f>
        <v>12</v>
      </c>
      <c r="J17" s="14" t="str">
        <f ca="1">uxb_ranking!AI19</f>
        <v>Honduras</v>
      </c>
      <c r="K17" s="15">
        <f ca="1">uxb_ranking!AP19</f>
        <v>47.1</v>
      </c>
    </row>
    <row r="18" spans="2:11">
      <c r="B18" s="167" t="str">
        <f ca="1">B8</f>
        <v>Investment Climate</v>
      </c>
      <c r="C18" s="31"/>
      <c r="D18" s="25"/>
      <c r="E18" s="32"/>
      <c r="F18" s="25"/>
      <c r="H18" s="106">
        <v>1</v>
      </c>
      <c r="I18" s="13">
        <f ca="1">IF(H18=0,"",uxb_ranking!A20)</f>
        <v>13</v>
      </c>
      <c r="J18" s="14" t="str">
        <f ca="1">uxb_ranking!AI20</f>
        <v>Chile</v>
      </c>
      <c r="K18" s="15">
        <f ca="1">uxb_ranking!AP20</f>
        <v>43.2</v>
      </c>
    </row>
    <row r="19" spans="2:11">
      <c r="B19" s="168" t="str">
        <f ca="1">uxb_scores_2007!C17</f>
        <v>Political stability</v>
      </c>
      <c r="C19" s="27">
        <v>1</v>
      </c>
      <c r="D19" s="29">
        <f ca="1">uxb_scores_2007!I17</f>
        <v>0.16666666666666666</v>
      </c>
      <c r="E19" s="29"/>
      <c r="F19" s="36" t="str">
        <f t="shared" si="0"/>
        <v>||||||||</v>
      </c>
      <c r="H19" s="106">
        <v>1</v>
      </c>
      <c r="I19" s="13">
        <f ca="1">IF(H19=0,"",uxb_ranking!A21)</f>
        <v>14</v>
      </c>
      <c r="J19" s="14" t="str">
        <f ca="1">uxb_ranking!AI21</f>
        <v>Brazil</v>
      </c>
      <c r="K19" s="15">
        <f ca="1">uxb_ranking!AP21</f>
        <v>41.6</v>
      </c>
    </row>
    <row r="20" spans="2:11">
      <c r="B20" s="168" t="str">
        <f ca="1">uxb_scores_2007!C18</f>
        <v>Capital market development</v>
      </c>
      <c r="C20" s="27">
        <v>1</v>
      </c>
      <c r="D20" s="29">
        <f ca="1">uxb_scores_2007!I18</f>
        <v>0.16666666666666666</v>
      </c>
      <c r="E20" s="29"/>
      <c r="F20" s="36" t="str">
        <f t="shared" si="0"/>
        <v>||||||||</v>
      </c>
      <c r="H20" s="106">
        <v>1</v>
      </c>
      <c r="I20" s="13">
        <f ca="1">IF(H20=0,"",uxb_ranking!A22)</f>
        <v>15</v>
      </c>
      <c r="J20" s="14" t="str">
        <f ca="1">uxb_ranking!AI22</f>
        <v>Costa Rica</v>
      </c>
      <c r="K20" s="15">
        <f ca="1">uxb_ranking!AP22</f>
        <v>40.299999999999997</v>
      </c>
    </row>
    <row r="21" spans="2:11">
      <c r="B21" s="168" t="str">
        <f ca="1">uxb_scores_2007!C19</f>
        <v>Judicial system</v>
      </c>
      <c r="C21" s="27">
        <v>1</v>
      </c>
      <c r="D21" s="29">
        <f ca="1">uxb_scores_2007!I19</f>
        <v>0.16666666666666666</v>
      </c>
      <c r="E21" s="29"/>
      <c r="F21" s="36" t="str">
        <f t="shared" si="0"/>
        <v>||||||||</v>
      </c>
      <c r="H21" s="106">
        <v>1</v>
      </c>
      <c r="I21" s="13">
        <f ca="1">IF(H21=0,"",uxb_ranking!A23)</f>
        <v>16</v>
      </c>
      <c r="J21" s="14" t="str">
        <f ca="1">uxb_ranking!AI23</f>
        <v>Haiti</v>
      </c>
      <c r="K21" s="15">
        <f ca="1">uxb_ranking!AP23</f>
        <v>30.2</v>
      </c>
    </row>
    <row r="22" spans="2:11">
      <c r="B22" s="168" t="str">
        <f ca="1">uxb_scores_2007!C20</f>
        <v>Accounting standards</v>
      </c>
      <c r="C22" s="27">
        <v>1</v>
      </c>
      <c r="D22" s="29">
        <f ca="1">uxb_scores_2007!I20</f>
        <v>0.16666666666666666</v>
      </c>
      <c r="E22" s="29"/>
      <c r="F22" s="36" t="str">
        <f t="shared" si="0"/>
        <v>||||||||</v>
      </c>
      <c r="H22" s="106">
        <v>1</v>
      </c>
      <c r="I22" s="13">
        <f ca="1">IF(H22=0,"",uxb_ranking!A24)</f>
        <v>17</v>
      </c>
      <c r="J22" s="14" t="str">
        <f ca="1">uxb_ranking!AI24</f>
        <v>Argentina</v>
      </c>
      <c r="K22" s="15">
        <f ca="1">uxb_ranking!AP24</f>
        <v>28.5</v>
      </c>
    </row>
    <row r="23" spans="2:11">
      <c r="B23" s="168" t="str">
        <f ca="1">uxb_scores_2007!C21</f>
        <v>Governance standards</v>
      </c>
      <c r="C23" s="27">
        <v>1</v>
      </c>
      <c r="D23" s="29">
        <f ca="1">uxb_scores_2007!I21</f>
        <v>0.16666666666666666</v>
      </c>
      <c r="E23" s="29"/>
      <c r="F23" s="36" t="str">
        <f t="shared" si="0"/>
        <v>||||||||</v>
      </c>
      <c r="H23" s="106">
        <v>1</v>
      </c>
      <c r="I23" s="13">
        <f ca="1">IF(H23=0,"",uxb_ranking!A25)</f>
        <v>18</v>
      </c>
      <c r="J23" s="14" t="str">
        <f ca="1">uxb_ranking!AI25</f>
        <v>Uruguay</v>
      </c>
      <c r="K23" s="15">
        <f ca="1">uxb_ranking!AP25</f>
        <v>28.3</v>
      </c>
    </row>
    <row r="24" spans="2:11">
      <c r="B24" s="168" t="str">
        <f ca="1">uxb_scores_2007!C22</f>
        <v>MFI transparency</v>
      </c>
      <c r="C24" s="27">
        <v>1</v>
      </c>
      <c r="D24" s="29">
        <f ca="1">uxb_scores_2007!I22</f>
        <v>0.16666666666666666</v>
      </c>
      <c r="E24" s="29"/>
      <c r="F24" s="36" t="str">
        <f t="shared" si="0"/>
        <v>||||||||</v>
      </c>
      <c r="H24" s="106">
        <v>1</v>
      </c>
      <c r="I24" s="13">
        <f ca="1">IF(H24=0,"",uxb_ranking!A26)</f>
        <v>19</v>
      </c>
      <c r="J24" s="14" t="str">
        <f ca="1">uxb_ranking!AI26</f>
        <v>Venezuela</v>
      </c>
      <c r="K24" s="15">
        <f ca="1">uxb_ranking!AP26</f>
        <v>24.9</v>
      </c>
    </row>
    <row r="25" spans="2:11">
      <c r="B25" s="169" t="str">
        <f ca="1">B9</f>
        <v>Institutional Development</v>
      </c>
      <c r="C25" s="31"/>
      <c r="D25" s="25"/>
      <c r="E25" s="32"/>
      <c r="F25" s="25"/>
      <c r="H25" s="106">
        <v>1</v>
      </c>
      <c r="I25" s="13">
        <f ca="1">IF(H25=0,"",uxb_ranking!A27)</f>
        <v>20</v>
      </c>
      <c r="J25" s="14" t="str">
        <f ca="1">uxb_ranking!AI27</f>
        <v>Jamaica</v>
      </c>
      <c r="K25" s="15">
        <f ca="1">uxb_ranking!AP27</f>
        <v>21.2</v>
      </c>
    </row>
    <row r="26" spans="2:11">
      <c r="B26" s="168" t="str">
        <f ca="1">uxb_scores_2007!C24</f>
        <v>Range of MFI Services</v>
      </c>
      <c r="C26" s="27">
        <v>1</v>
      </c>
      <c r="D26" s="29">
        <f ca="1">uxb_scores_2007!I24</f>
        <v>0.33333333333333331</v>
      </c>
      <c r="E26" s="29"/>
      <c r="F26" s="36" t="str">
        <f t="shared" si="0"/>
        <v>||||||||||||||||</v>
      </c>
    </row>
    <row r="27" spans="2:11">
      <c r="B27" s="168" t="str">
        <f ca="1">uxb_scores_2007!C25</f>
        <v>Credit bureaus</v>
      </c>
      <c r="C27" s="27">
        <v>1</v>
      </c>
      <c r="D27" s="29">
        <f ca="1">uxb_scores_2007!I25</f>
        <v>0.33333333333333331</v>
      </c>
      <c r="E27" s="29"/>
      <c r="F27" s="36" t="str">
        <f t="shared" si="0"/>
        <v>||||||||||||||||</v>
      </c>
    </row>
    <row r="28" spans="2:11">
      <c r="B28" s="168" t="str">
        <f ca="1">uxb_scores_2007!C26</f>
        <v>Level of competition</v>
      </c>
      <c r="C28" s="27">
        <v>1</v>
      </c>
      <c r="D28" s="29">
        <f ca="1">uxb_scores_2007!I26</f>
        <v>0.33333333333333331</v>
      </c>
      <c r="E28" s="29"/>
      <c r="F28" s="36" t="str">
        <f t="shared" si="0"/>
        <v>||||||||||||||||</v>
      </c>
    </row>
  </sheetData>
  <sheetProtection sheet="1" objects="1" scenarios="1"/>
  <phoneticPr fontId="2" type="noConversion"/>
  <conditionalFormatting sqref="I5:K5">
    <cfRule type="expression" dxfId="6" priority="1" stopIfTrue="1">
      <formula>$A$2=2</formula>
    </cfRule>
  </conditionalFormatting>
  <conditionalFormatting sqref="I6:I25">
    <cfRule type="expression" dxfId="5" priority="2" stopIfTrue="1">
      <formula>$H6=0</formula>
    </cfRule>
    <cfRule type="expression" dxfId="4" priority="3" stopIfTrue="1">
      <formula>$A$2=J6</formula>
    </cfRule>
  </conditionalFormatting>
  <conditionalFormatting sqref="J6:J25">
    <cfRule type="expression" dxfId="3" priority="4" stopIfTrue="1">
      <formula>$H6=0</formula>
    </cfRule>
    <cfRule type="cellIs" dxfId="2" priority="5" stopIfTrue="1" operator="equal">
      <formula>$A$2</formula>
    </cfRule>
  </conditionalFormatting>
  <conditionalFormatting sqref="K6:K25">
    <cfRule type="expression" dxfId="1" priority="6" stopIfTrue="1">
      <formula>$H6=0</formula>
    </cfRule>
    <cfRule type="expression" dxfId="0" priority="7" stopIfTrue="1">
      <formula>J6=$A$2</formula>
    </cfRule>
  </conditionalFormatting>
  <pageMargins left="0.74803149606299213" right="0.74803149606299213" top="0.78740157480314965" bottom="0.78740157480314965" header="0.51181102362204722" footer="0.51181102362204722"/>
  <pageSetup scale="91" orientation="landscape" r:id="rId1"/>
  <headerFooter alignWithMargins="0"/>
  <drawing r:id="rId2"/>
  <legacyDrawing r:id="rId3"/>
</worksheet>
</file>

<file path=xl/worksheets/sheet24.xml><?xml version="1.0" encoding="utf-8"?>
<worksheet xmlns="http://schemas.openxmlformats.org/spreadsheetml/2006/main" xmlns:r="http://schemas.openxmlformats.org/officeDocument/2006/relationships">
  <sheetPr codeName="Sheet19">
    <pageSetUpPr fitToPage="1"/>
  </sheetPr>
  <dimension ref="A1:CE27"/>
  <sheetViews>
    <sheetView showGridLines="0" showRowColHeaders="0" workbookViewId="0">
      <pane ySplit="3" topLeftCell="A4" activePane="bottomLeft" state="frozen"/>
      <selection activeCell="C12" sqref="C12"/>
      <selection pane="bottomLeft"/>
    </sheetView>
  </sheetViews>
  <sheetFormatPr defaultRowHeight="12.75"/>
  <cols>
    <col min="1" max="1" width="4.28515625" customWidth="1"/>
    <col min="2" max="2" width="3.140625" hidden="1" customWidth="1"/>
    <col min="3" max="3" width="2.85546875" hidden="1" customWidth="1"/>
    <col min="4" max="4" width="64.140625" bestFit="1" customWidth="1"/>
    <col min="5" max="6" width="6.7109375" customWidth="1"/>
    <col min="7" max="7" width="2.140625" customWidth="1"/>
  </cols>
  <sheetData>
    <row r="1" spans="1:83" s="9" customFormat="1" ht="21" customHeight="1">
      <c r="A1" s="7" t="s">
        <v>110</v>
      </c>
      <c r="B1" s="7"/>
      <c r="C1" s="7"/>
      <c r="D1" s="7"/>
      <c r="E1" s="7"/>
      <c r="F1" s="7"/>
      <c r="G1" s="7"/>
      <c r="H1" s="7"/>
      <c r="I1" s="7"/>
      <c r="J1" s="7"/>
      <c r="K1" s="7"/>
      <c r="L1" s="7"/>
      <c r="M1" s="7"/>
      <c r="N1" s="7"/>
      <c r="O1" s="7"/>
      <c r="P1" s="7"/>
      <c r="Q1" s="7"/>
      <c r="R1" s="7"/>
      <c r="S1" s="7"/>
      <c r="T1" s="7"/>
      <c r="U1" s="7"/>
      <c r="V1" s="7"/>
      <c r="W1" s="7"/>
      <c r="X1" s="7"/>
      <c r="Y1" s="7"/>
      <c r="Z1" s="7"/>
      <c r="AA1" s="7"/>
      <c r="AB1" s="7"/>
      <c r="AR1" s="10"/>
      <c r="AS1" s="10"/>
      <c r="AT1" s="10"/>
      <c r="AU1" s="10"/>
      <c r="AX1" s="11"/>
      <c r="AY1" s="11"/>
      <c r="AZ1" s="11"/>
      <c r="BA1" s="11"/>
      <c r="BB1" s="11"/>
      <c r="BC1" s="11"/>
      <c r="BD1" s="11"/>
      <c r="BE1" s="11"/>
      <c r="BF1" s="11"/>
      <c r="BG1" s="11"/>
      <c r="BI1" s="11"/>
      <c r="BJ1" s="11"/>
      <c r="BK1" s="11"/>
      <c r="BL1" s="11"/>
      <c r="BM1" s="11"/>
      <c r="BN1" s="11"/>
      <c r="BO1" s="11"/>
      <c r="BP1" s="11"/>
      <c r="BQ1" s="11"/>
      <c r="BR1" s="11"/>
      <c r="BS1" s="11"/>
      <c r="BU1" s="11"/>
      <c r="BV1" s="11"/>
      <c r="BW1" s="11"/>
      <c r="BX1" s="11"/>
      <c r="BY1" s="11"/>
      <c r="BZ1" s="11"/>
      <c r="CA1" s="11"/>
      <c r="CB1" s="11"/>
      <c r="CC1" s="11"/>
      <c r="CD1" s="11"/>
      <c r="CE1" s="11"/>
    </row>
    <row r="2" spans="1:83" ht="3" customHeight="1"/>
    <row r="3" spans="1:83" ht="55.5">
      <c r="E3" s="225" t="s">
        <v>473</v>
      </c>
      <c r="F3" s="225"/>
      <c r="H3" s="39" t="str">
        <f ca="1">uxb_scores_2008!J1</f>
        <v>Argentina</v>
      </c>
      <c r="I3" s="40" t="str">
        <f ca="1">uxb_scores_2008!K1</f>
        <v>Bolivia</v>
      </c>
      <c r="J3" s="39" t="str">
        <f ca="1">uxb_scores_2008!L1</f>
        <v>Brazil</v>
      </c>
      <c r="K3" s="40" t="str">
        <f ca="1">uxb_scores_2008!M1</f>
        <v>Chile</v>
      </c>
      <c r="L3" s="39" t="str">
        <f ca="1">uxb_scores_2008!N1</f>
        <v>Colombia</v>
      </c>
      <c r="M3" s="40" t="str">
        <f ca="1">uxb_scores_2008!O1</f>
        <v>Costa Rica</v>
      </c>
      <c r="N3" s="39" t="str">
        <f ca="1">uxb_scores_2008!P1</f>
        <v>Dominican Rep</v>
      </c>
      <c r="O3" s="40" t="str">
        <f ca="1">uxb_scores_2008!Q1</f>
        <v>Ecuador</v>
      </c>
      <c r="P3" s="39" t="str">
        <f ca="1">uxb_scores_2008!R1</f>
        <v>El Salvador</v>
      </c>
      <c r="Q3" s="40" t="str">
        <f ca="1">uxb_scores_2008!S1</f>
        <v>Guatemala</v>
      </c>
      <c r="R3" s="39" t="str">
        <f ca="1">uxb_scores_2008!T1</f>
        <v>Haiti</v>
      </c>
      <c r="S3" s="40" t="str">
        <f ca="1">uxb_scores_2008!U1</f>
        <v>Honduras</v>
      </c>
      <c r="T3" s="39" t="str">
        <f ca="1">uxb_scores_2008!V1</f>
        <v>Jamaica</v>
      </c>
      <c r="U3" s="40" t="str">
        <f ca="1">uxb_scores_2008!W1</f>
        <v>Mexico</v>
      </c>
      <c r="V3" s="39" t="str">
        <f ca="1">uxb_scores_2008!X1</f>
        <v>Nicaragua</v>
      </c>
      <c r="W3" s="40" t="str">
        <f ca="1">uxb_scores_2008!Y1</f>
        <v>Panama</v>
      </c>
      <c r="X3" s="39" t="str">
        <f ca="1">uxb_scores_2008!Z1</f>
        <v>Paraguay</v>
      </c>
      <c r="Y3" s="40" t="str">
        <f ca="1">uxb_scores_2008!AA1</f>
        <v>Peru</v>
      </c>
      <c r="Z3" s="39" t="str">
        <f ca="1">uxb_scores_2008!AB1</f>
        <v>Uruguay</v>
      </c>
      <c r="AA3" s="40" t="str">
        <f ca="1">uxb_scores_2008!AC1</f>
        <v>Venezuela</v>
      </c>
    </row>
    <row r="4" spans="1:83" s="56" customFormat="1" ht="18.75" customHeight="1">
      <c r="A4" s="55"/>
      <c r="B4" s="54" t="str">
        <f ca="1">uxb_scores_2008!A3</f>
        <v>OVERALL00</v>
      </c>
      <c r="C4" s="54">
        <f ca="1">uxb_scores_2008!B3</f>
        <v>0</v>
      </c>
      <c r="D4" s="70" t="s">
        <v>472</v>
      </c>
      <c r="E4" s="70"/>
      <c r="F4" s="70"/>
      <c r="G4" s="70"/>
      <c r="H4" s="73">
        <f ca="1">uxb_scores_2008!J3</f>
        <v>28.5</v>
      </c>
      <c r="I4" s="71">
        <f ca="1">uxb_scores_2008!K3</f>
        <v>74.388888888888886</v>
      </c>
      <c r="J4" s="73">
        <f ca="1">uxb_scores_2008!L3</f>
        <v>41.555555555555557</v>
      </c>
      <c r="K4" s="71">
        <f ca="1">uxb_scores_2008!M3</f>
        <v>43.166666666666671</v>
      </c>
      <c r="L4" s="73">
        <f ca="1">uxb_scores_2008!N3</f>
        <v>58.611111111111114</v>
      </c>
      <c r="M4" s="71">
        <f ca="1">uxb_scores_2008!O3</f>
        <v>40.274999999999991</v>
      </c>
      <c r="N4" s="73">
        <f ca="1">uxb_scores_2008!P3</f>
        <v>48</v>
      </c>
      <c r="O4" s="71">
        <f ca="1">uxb_scores_2008!Q3</f>
        <v>69.666666666666671</v>
      </c>
      <c r="P4" s="73">
        <f ca="1">uxb_scores_2008!R3</f>
        <v>58.999999999999993</v>
      </c>
      <c r="Q4" s="71">
        <f ca="1">uxb_scores_2008!S3</f>
        <v>54</v>
      </c>
      <c r="R4" s="73">
        <f ca="1">uxb_scores_2008!T3</f>
        <v>30.166666666666664</v>
      </c>
      <c r="S4" s="71">
        <f ca="1">uxb_scores_2008!U3</f>
        <v>47.108333333333334</v>
      </c>
      <c r="T4" s="73">
        <f ca="1">uxb_scores_2008!V3</f>
        <v>21.166666666666664</v>
      </c>
      <c r="U4" s="71">
        <f ca="1">uxb_scores_2008!W3</f>
        <v>47.5</v>
      </c>
      <c r="V4" s="73">
        <f ca="1">uxb_scores_2008!X3</f>
        <v>58</v>
      </c>
      <c r="W4" s="71">
        <f ca="1">uxb_scores_2008!Y3</f>
        <v>47.5</v>
      </c>
      <c r="X4" s="73">
        <f ca="1">uxb_scores_2008!Z3</f>
        <v>49.608333333333327</v>
      </c>
      <c r="Y4" s="71">
        <f ca="1">uxb_scores_2008!AA3</f>
        <v>76.608333333333334</v>
      </c>
      <c r="Z4" s="73">
        <f ca="1">uxb_scores_2008!AB3</f>
        <v>28.333333333333329</v>
      </c>
      <c r="AA4" s="71">
        <f ca="1">uxb_scores_2008!AC3</f>
        <v>24.941666666666663</v>
      </c>
    </row>
    <row r="5" spans="1:83" s="72" customFormat="1" ht="2.25" customHeight="1">
      <c r="A5" s="69"/>
      <c r="B5" s="70"/>
      <c r="C5" s="70"/>
      <c r="D5" s="70"/>
      <c r="E5" s="70"/>
      <c r="F5" s="70"/>
      <c r="G5" s="70"/>
      <c r="H5" s="73"/>
      <c r="I5" s="71"/>
      <c r="J5" s="73"/>
      <c r="K5" s="71"/>
      <c r="L5" s="73"/>
      <c r="M5" s="71"/>
      <c r="N5" s="73"/>
      <c r="O5" s="71"/>
      <c r="P5" s="73"/>
      <c r="Q5" s="71"/>
      <c r="R5" s="73"/>
      <c r="S5" s="71"/>
      <c r="T5" s="73"/>
      <c r="U5" s="71"/>
      <c r="V5" s="73"/>
      <c r="W5" s="71"/>
      <c r="X5" s="73"/>
      <c r="Y5" s="71"/>
      <c r="Z5" s="73"/>
      <c r="AA5" s="71"/>
    </row>
    <row r="6" spans="1:83">
      <c r="B6" s="47" t="str">
        <f ca="1">uxb_scores_2008!A4</f>
        <v>RF00</v>
      </c>
      <c r="C6" s="47" t="str">
        <f ca="1">uxb_scores_2008!B4</f>
        <v>OVERALL00</v>
      </c>
      <c r="D6" s="47" t="str">
        <f ca="1">uxb_scores_2008!C4</f>
        <v xml:space="preserve">Regulatory Framework </v>
      </c>
      <c r="E6" s="67" t="str">
        <f ca="1">REPT("|",F6*20)</f>
        <v>||||||||</v>
      </c>
      <c r="F6" s="180">
        <f ca="1">uxb_scores_2008!I4</f>
        <v>0.4</v>
      </c>
      <c r="G6" s="48"/>
      <c r="H6" s="68">
        <f ca="1">uxb_scores_2008!J4</f>
        <v>18.75</v>
      </c>
      <c r="I6" s="49">
        <f ca="1">uxb_scores_2008!K4</f>
        <v>87.5</v>
      </c>
      <c r="J6" s="68">
        <f ca="1">uxb_scores_2008!L4</f>
        <v>43.75</v>
      </c>
      <c r="K6" s="49">
        <f ca="1">uxb_scores_2008!M4</f>
        <v>37.5</v>
      </c>
      <c r="L6" s="68">
        <f ca="1">uxb_scores_2008!N4</f>
        <v>62.5</v>
      </c>
      <c r="M6" s="49">
        <f ca="1">uxb_scores_2008!O4</f>
        <v>37.5</v>
      </c>
      <c r="N6" s="68">
        <f ca="1">uxb_scores_2008!P4</f>
        <v>50</v>
      </c>
      <c r="O6" s="49">
        <f ca="1">uxb_scores_2008!Q4</f>
        <v>75</v>
      </c>
      <c r="P6" s="68">
        <f ca="1">uxb_scores_2008!R4</f>
        <v>56.25</v>
      </c>
      <c r="Q6" s="49">
        <f ca="1">uxb_scores_2008!S4</f>
        <v>56.25</v>
      </c>
      <c r="R6" s="68">
        <f ca="1">uxb_scores_2008!T4</f>
        <v>43.75</v>
      </c>
      <c r="S6" s="49">
        <f ca="1">uxb_scores_2008!U4</f>
        <v>50</v>
      </c>
      <c r="T6" s="68">
        <f ca="1">uxb_scores_2008!V4</f>
        <v>25</v>
      </c>
      <c r="U6" s="49">
        <f ca="1">uxb_scores_2008!W4</f>
        <v>56.25</v>
      </c>
      <c r="V6" s="68">
        <f ca="1">uxb_scores_2008!X4</f>
        <v>56.25</v>
      </c>
      <c r="W6" s="49">
        <f ca="1">uxb_scores_2008!Y4</f>
        <v>56.25</v>
      </c>
      <c r="X6" s="68">
        <f ca="1">uxb_scores_2008!Z4</f>
        <v>62.5</v>
      </c>
      <c r="Y6" s="49">
        <f ca="1">uxb_scores_2008!AA4</f>
        <v>87.5</v>
      </c>
      <c r="Z6" s="68">
        <f ca="1">uxb_scores_2008!AB4</f>
        <v>31.25</v>
      </c>
      <c r="AA6" s="49">
        <f ca="1">uxb_scores_2008!AC4</f>
        <v>25</v>
      </c>
    </row>
    <row r="7" spans="1:83">
      <c r="B7" s="47" t="str">
        <f ca="1">uxb_scores_2008!A5</f>
        <v>IC00</v>
      </c>
      <c r="C7" s="47" t="str">
        <f ca="1">uxb_scores_2008!B5</f>
        <v>OVERALL00</v>
      </c>
      <c r="D7" s="47" t="str">
        <f ca="1">uxb_scores_2008!C5</f>
        <v>Investment Climate</v>
      </c>
      <c r="E7" s="67" t="str">
        <f ca="1">REPT("|",F7*20)</f>
        <v>||||</v>
      </c>
      <c r="F7" s="180">
        <f ca="1">uxb_scores_2008!I5</f>
        <v>0.2</v>
      </c>
      <c r="G7" s="48"/>
      <c r="H7" s="66">
        <f ca="1">uxb_scores_2008!J5</f>
        <v>38.333333333333329</v>
      </c>
      <c r="I7" s="49">
        <f ca="1">uxb_scores_2008!K5</f>
        <v>46.944444444444443</v>
      </c>
      <c r="J7" s="66">
        <f ca="1">uxb_scores_2008!L5</f>
        <v>53.6111111111111</v>
      </c>
      <c r="K7" s="49">
        <f ca="1">uxb_scores_2008!M5</f>
        <v>74.166666666666671</v>
      </c>
      <c r="L7" s="66">
        <f ca="1">uxb_scores_2008!N5</f>
        <v>51.388888888888886</v>
      </c>
      <c r="M7" s="49">
        <f ca="1">uxb_scores_2008!O5</f>
        <v>59.708333333333314</v>
      </c>
      <c r="N7" s="66">
        <f ca="1">uxb_scores_2008!P5</f>
        <v>40</v>
      </c>
      <c r="O7" s="49">
        <f ca="1">uxb_scores_2008!Q5</f>
        <v>31.666666666666668</v>
      </c>
      <c r="P7" s="66">
        <f ca="1">uxb_scores_2008!R5</f>
        <v>49.166666666666657</v>
      </c>
      <c r="Q7" s="49">
        <f ca="1">uxb_scores_2008!S5</f>
        <v>40.833333333333329</v>
      </c>
      <c r="R7" s="66">
        <f ca="1">uxb_scores_2008!T5</f>
        <v>29.999999999999996</v>
      </c>
      <c r="S7" s="49">
        <f ca="1">uxb_scores_2008!U5</f>
        <v>35.541666666666657</v>
      </c>
      <c r="T7" s="66">
        <f ca="1">uxb_scores_2008!V5</f>
        <v>55.833333333333329</v>
      </c>
      <c r="U7" s="49">
        <f ca="1">uxb_scores_2008!W5</f>
        <v>58.333333333333329</v>
      </c>
      <c r="V7" s="66">
        <f ca="1">uxb_scores_2008!X5</f>
        <v>44.166666666666657</v>
      </c>
      <c r="W7" s="49">
        <f ca="1">uxb_scores_2008!Y5</f>
        <v>58.333333333333329</v>
      </c>
      <c r="X7" s="66">
        <f ca="1">uxb_scores_2008!Z5</f>
        <v>39.708333333333329</v>
      </c>
      <c r="Y7" s="49">
        <f ca="1">uxb_scores_2008!AA5</f>
        <v>58.041666666666671</v>
      </c>
      <c r="Z7" s="66">
        <f ca="1">uxb_scores_2008!AB5</f>
        <v>45.833333333333321</v>
      </c>
      <c r="AA7" s="49">
        <f ca="1">uxb_scores_2008!AC5</f>
        <v>41.375</v>
      </c>
    </row>
    <row r="8" spans="1:83">
      <c r="B8" s="47" t="str">
        <f ca="1">uxb_scores_2008!A6</f>
        <v>ID00</v>
      </c>
      <c r="C8" s="47" t="str">
        <f ca="1">uxb_scores_2008!B6</f>
        <v>OVERALL00</v>
      </c>
      <c r="D8" s="47" t="str">
        <f ca="1">uxb_scores_2008!C6</f>
        <v>Institutional Development</v>
      </c>
      <c r="E8" s="67" t="str">
        <f ca="1">REPT("|",F8*20)</f>
        <v>||||||||</v>
      </c>
      <c r="F8" s="180">
        <f ca="1">uxb_scores_2008!I6</f>
        <v>0.4</v>
      </c>
      <c r="G8" s="48"/>
      <c r="H8" s="66">
        <f ca="1">uxb_scores_2008!J6</f>
        <v>33.333333333333329</v>
      </c>
      <c r="I8" s="49">
        <f ca="1">uxb_scores_2008!K6</f>
        <v>75</v>
      </c>
      <c r="J8" s="66">
        <f ca="1">uxb_scores_2008!L6</f>
        <v>33.333333333333329</v>
      </c>
      <c r="K8" s="49">
        <f ca="1">uxb_scores_2008!M6</f>
        <v>33.333333333333329</v>
      </c>
      <c r="L8" s="66">
        <f ca="1">uxb_scores_2008!N6</f>
        <v>58.333333333333329</v>
      </c>
      <c r="M8" s="49">
        <f ca="1">uxb_scores_2008!O6</f>
        <v>33.333333333333329</v>
      </c>
      <c r="N8" s="66">
        <f ca="1">uxb_scores_2008!P6</f>
        <v>50</v>
      </c>
      <c r="O8" s="49">
        <f ca="1">uxb_scores_2008!Q6</f>
        <v>83.333333333333329</v>
      </c>
      <c r="P8" s="66">
        <f ca="1">uxb_scores_2008!R6</f>
        <v>66.666666666666657</v>
      </c>
      <c r="Q8" s="49">
        <f ca="1">uxb_scores_2008!S6</f>
        <v>58.333333333333329</v>
      </c>
      <c r="R8" s="66">
        <f ca="1">uxb_scores_2008!T6</f>
        <v>16.666666666666664</v>
      </c>
      <c r="S8" s="49">
        <f ca="1">uxb_scores_2008!U6</f>
        <v>49.999999999999993</v>
      </c>
      <c r="T8" s="66">
        <f ca="1">uxb_scores_2008!V6</f>
        <v>0</v>
      </c>
      <c r="U8" s="49">
        <f ca="1">uxb_scores_2008!W6</f>
        <v>33.333333333333329</v>
      </c>
      <c r="V8" s="66">
        <f ca="1">uxb_scores_2008!X6</f>
        <v>66.666666666666657</v>
      </c>
      <c r="W8" s="49">
        <f ca="1">uxb_scores_2008!Y6</f>
        <v>33.333333333333329</v>
      </c>
      <c r="X8" s="66">
        <f ca="1">uxb_scores_2008!Z6</f>
        <v>41.666666666666657</v>
      </c>
      <c r="Y8" s="49">
        <f ca="1">uxb_scores_2008!AA6</f>
        <v>75</v>
      </c>
      <c r="Z8" s="66">
        <f ca="1">uxb_scores_2008!AB6</f>
        <v>16.666666666666664</v>
      </c>
      <c r="AA8" s="49">
        <f ca="1">uxb_scores_2008!AC6</f>
        <v>16.666666666666664</v>
      </c>
    </row>
    <row r="9" spans="1:83" ht="9" customHeight="1">
      <c r="B9" s="41"/>
      <c r="C9" s="41"/>
      <c r="D9" s="41"/>
      <c r="E9" s="44"/>
      <c r="F9" s="41"/>
      <c r="G9" s="44"/>
      <c r="H9" s="42"/>
      <c r="I9" s="42"/>
      <c r="J9" s="42"/>
      <c r="K9" s="42"/>
      <c r="L9" s="42"/>
      <c r="M9" s="42"/>
      <c r="N9" s="42"/>
      <c r="O9" s="42"/>
      <c r="P9" s="42"/>
      <c r="Q9" s="42"/>
      <c r="R9" s="42"/>
      <c r="S9" s="42"/>
      <c r="T9" s="42"/>
      <c r="U9" s="42"/>
      <c r="V9" s="42"/>
      <c r="W9" s="42"/>
      <c r="X9" s="42"/>
      <c r="Y9" s="42"/>
      <c r="Z9" s="42"/>
      <c r="AA9" s="42"/>
    </row>
    <row r="10" spans="1:83" s="52" customFormat="1" ht="19.5" customHeight="1">
      <c r="B10" s="53" t="str">
        <f ca="1">uxb_scores_2008!A4</f>
        <v>RF00</v>
      </c>
      <c r="C10" s="53" t="str">
        <f ca="1">uxb_scores_2008!B4</f>
        <v>OVERALL00</v>
      </c>
      <c r="D10" s="57" t="str">
        <f ca="1">uxb_scores_2008!C4</f>
        <v xml:space="preserve">Regulatory Framework </v>
      </c>
      <c r="E10" s="50"/>
      <c r="F10" s="58"/>
      <c r="G10" s="48"/>
      <c r="H10" s="64">
        <f ca="1">uxb_scores_2008!J4</f>
        <v>18.75</v>
      </c>
      <c r="I10" s="59">
        <f ca="1">uxb_scores_2008!K4</f>
        <v>87.5</v>
      </c>
      <c r="J10" s="64">
        <f ca="1">uxb_scores_2008!L4</f>
        <v>43.75</v>
      </c>
      <c r="K10" s="59">
        <f ca="1">uxb_scores_2008!M4</f>
        <v>37.5</v>
      </c>
      <c r="L10" s="64">
        <f ca="1">uxb_scores_2008!N4</f>
        <v>62.5</v>
      </c>
      <c r="M10" s="59">
        <f ca="1">uxb_scores_2008!O4</f>
        <v>37.5</v>
      </c>
      <c r="N10" s="64">
        <f ca="1">uxb_scores_2008!P4</f>
        <v>50</v>
      </c>
      <c r="O10" s="59">
        <f ca="1">uxb_scores_2008!Q4</f>
        <v>75</v>
      </c>
      <c r="P10" s="64">
        <f ca="1">uxb_scores_2008!R4</f>
        <v>56.25</v>
      </c>
      <c r="Q10" s="59">
        <f ca="1">uxb_scores_2008!S4</f>
        <v>56.25</v>
      </c>
      <c r="R10" s="64">
        <f ca="1">uxb_scores_2008!T4</f>
        <v>43.75</v>
      </c>
      <c r="S10" s="59">
        <f ca="1">uxb_scores_2008!U4</f>
        <v>50</v>
      </c>
      <c r="T10" s="64">
        <f ca="1">uxb_scores_2008!V4</f>
        <v>25</v>
      </c>
      <c r="U10" s="59">
        <f ca="1">uxb_scores_2008!W4</f>
        <v>56.25</v>
      </c>
      <c r="V10" s="64">
        <f ca="1">uxb_scores_2008!X4</f>
        <v>56.25</v>
      </c>
      <c r="W10" s="59">
        <f ca="1">uxb_scores_2008!Y4</f>
        <v>56.25</v>
      </c>
      <c r="X10" s="64">
        <f ca="1">uxb_scores_2008!Z4</f>
        <v>62.5</v>
      </c>
      <c r="Y10" s="59">
        <f ca="1">uxb_scores_2008!AA4</f>
        <v>87.5</v>
      </c>
      <c r="Z10" s="64">
        <f ca="1">uxb_scores_2008!AB4</f>
        <v>31.25</v>
      </c>
      <c r="AA10" s="59">
        <f ca="1">uxb_scores_2008!AC4</f>
        <v>25</v>
      </c>
    </row>
    <row r="11" spans="1:83">
      <c r="B11" t="str">
        <f ca="1">uxb_scores_2008!A12</f>
        <v>RF01</v>
      </c>
      <c r="C11" t="str">
        <f ca="1">uxb_scores_2008!B12</f>
        <v>RF00</v>
      </c>
      <c r="D11" s="175" t="str">
        <f ca="1">uxb_scores_2008!C12</f>
        <v>Regulation of microcredit operations</v>
      </c>
      <c r="E11" s="51" t="str">
        <f ca="1">REPT("|",F11*20)</f>
        <v>|||||</v>
      </c>
      <c r="F11" s="178">
        <f ca="1">uxb_scores_2008!I12</f>
        <v>0.25</v>
      </c>
      <c r="G11" s="43"/>
      <c r="H11" s="176">
        <f ca="1">uxb_scores_2008!J12</f>
        <v>1</v>
      </c>
      <c r="I11" s="177">
        <f ca="1">uxb_scores_2008!K12</f>
        <v>3</v>
      </c>
      <c r="J11" s="176">
        <f ca="1">uxb_scores_2008!L12</f>
        <v>2</v>
      </c>
      <c r="K11" s="177">
        <f ca="1">uxb_scores_2008!M12</f>
        <v>2</v>
      </c>
      <c r="L11" s="176">
        <f ca="1">uxb_scores_2008!N12</f>
        <v>2</v>
      </c>
      <c r="M11" s="177">
        <f ca="1">uxb_scores_2008!O12</f>
        <v>2</v>
      </c>
      <c r="N11" s="176">
        <f ca="1">uxb_scores_2008!P12</f>
        <v>3</v>
      </c>
      <c r="O11" s="177">
        <f ca="1">uxb_scores_2008!Q12</f>
        <v>3</v>
      </c>
      <c r="P11" s="176">
        <f ca="1">uxb_scores_2008!R12</f>
        <v>2</v>
      </c>
      <c r="Q11" s="177">
        <f ca="1">uxb_scores_2008!S12</f>
        <v>3</v>
      </c>
      <c r="R11" s="176">
        <f ca="1">uxb_scores_2008!T12</f>
        <v>2</v>
      </c>
      <c r="S11" s="177">
        <f ca="1">uxb_scores_2008!U12</f>
        <v>2</v>
      </c>
      <c r="T11" s="176">
        <f ca="1">uxb_scores_2008!V12</f>
        <v>1</v>
      </c>
      <c r="U11" s="177">
        <f ca="1">uxb_scores_2008!W12</f>
        <v>2</v>
      </c>
      <c r="V11" s="176">
        <f ca="1">uxb_scores_2008!X12</f>
        <v>2</v>
      </c>
      <c r="W11" s="177">
        <f ca="1">uxb_scores_2008!Y12</f>
        <v>3</v>
      </c>
      <c r="X11" s="176">
        <f ca="1">uxb_scores_2008!Z12</f>
        <v>3</v>
      </c>
      <c r="Y11" s="177">
        <f ca="1">uxb_scores_2008!AA12</f>
        <v>4</v>
      </c>
      <c r="Z11" s="176">
        <f ca="1">uxb_scores_2008!AB12</f>
        <v>2</v>
      </c>
      <c r="AA11" s="177">
        <f ca="1">uxb_scores_2008!AC12</f>
        <v>1</v>
      </c>
    </row>
    <row r="12" spans="1:83">
      <c r="B12" t="str">
        <f ca="1">uxb_scores_2008!A13</f>
        <v>RF02</v>
      </c>
      <c r="C12" t="str">
        <f ca="1">uxb_scores_2008!B13</f>
        <v>RF00</v>
      </c>
      <c r="D12" s="175" t="str">
        <f ca="1">uxb_scores_2008!C13</f>
        <v>Formation and operation of regulated/supervised specialised MFIs</v>
      </c>
      <c r="E12" s="51" t="str">
        <f ca="1">REPT("|",F12*20)</f>
        <v>|||||</v>
      </c>
      <c r="F12" s="178">
        <f ca="1">uxb_scores_2008!I13</f>
        <v>0.25</v>
      </c>
      <c r="G12" s="43"/>
      <c r="H12" s="176">
        <f ca="1">uxb_scores_2008!J13</f>
        <v>1</v>
      </c>
      <c r="I12" s="177">
        <f ca="1">uxb_scores_2008!K13</f>
        <v>3</v>
      </c>
      <c r="J12" s="176">
        <f ca="1">uxb_scores_2008!L13</f>
        <v>2</v>
      </c>
      <c r="K12" s="177">
        <f ca="1">uxb_scores_2008!M13</f>
        <v>1</v>
      </c>
      <c r="L12" s="176">
        <f ca="1">uxb_scores_2008!N13</f>
        <v>2</v>
      </c>
      <c r="M12" s="177">
        <f ca="1">uxb_scores_2008!O13</f>
        <v>1</v>
      </c>
      <c r="N12" s="176">
        <f ca="1">uxb_scores_2008!P13</f>
        <v>2</v>
      </c>
      <c r="O12" s="177">
        <f ca="1">uxb_scores_2008!Q13</f>
        <v>3</v>
      </c>
      <c r="P12" s="176">
        <f ca="1">uxb_scores_2008!R13</f>
        <v>2</v>
      </c>
      <c r="Q12" s="177">
        <f ca="1">uxb_scores_2008!S13</f>
        <v>1</v>
      </c>
      <c r="R12" s="176">
        <f ca="1">uxb_scores_2008!T13</f>
        <v>1</v>
      </c>
      <c r="S12" s="177">
        <f ca="1">uxb_scores_2008!U13</f>
        <v>2</v>
      </c>
      <c r="T12" s="176">
        <f ca="1">uxb_scores_2008!V13</f>
        <v>1</v>
      </c>
      <c r="U12" s="177">
        <f ca="1">uxb_scores_2008!W13</f>
        <v>3</v>
      </c>
      <c r="V12" s="176">
        <f ca="1">uxb_scores_2008!X13</f>
        <v>2</v>
      </c>
      <c r="W12" s="177">
        <f ca="1">uxb_scores_2008!Y13</f>
        <v>2</v>
      </c>
      <c r="X12" s="176">
        <f ca="1">uxb_scores_2008!Z13</f>
        <v>2</v>
      </c>
      <c r="Y12" s="177">
        <f ca="1">uxb_scores_2008!AA13</f>
        <v>4</v>
      </c>
      <c r="Z12" s="176">
        <f ca="1">uxb_scores_2008!AB13</f>
        <v>1</v>
      </c>
      <c r="AA12" s="177">
        <f ca="1">uxb_scores_2008!AC13</f>
        <v>1</v>
      </c>
    </row>
    <row r="13" spans="1:83">
      <c r="B13" t="str">
        <f ca="1">uxb_scores_2008!A14</f>
        <v>RF03</v>
      </c>
      <c r="C13" t="str">
        <f ca="1">uxb_scores_2008!B14</f>
        <v>RF00</v>
      </c>
      <c r="D13" s="175" t="str">
        <f ca="1">uxb_scores_2008!C14</f>
        <v>Formation and operation of non-regulated MFIs</v>
      </c>
      <c r="E13" s="51" t="str">
        <f ca="1">REPT("|",F13*20)</f>
        <v>|||||</v>
      </c>
      <c r="F13" s="178">
        <f ca="1">uxb_scores_2008!I14</f>
        <v>0.25</v>
      </c>
      <c r="G13" s="43"/>
      <c r="H13" s="176">
        <f ca="1">uxb_scores_2008!J14</f>
        <v>1</v>
      </c>
      <c r="I13" s="177">
        <f ca="1">uxb_scores_2008!K14</f>
        <v>4</v>
      </c>
      <c r="J13" s="176">
        <f ca="1">uxb_scores_2008!L14</f>
        <v>2</v>
      </c>
      <c r="K13" s="177">
        <f ca="1">uxb_scores_2008!M14</f>
        <v>2</v>
      </c>
      <c r="L13" s="176">
        <f ca="1">uxb_scores_2008!N14</f>
        <v>3</v>
      </c>
      <c r="M13" s="177">
        <f ca="1">uxb_scores_2008!O14</f>
        <v>2</v>
      </c>
      <c r="N13" s="176">
        <f ca="1">uxb_scores_2008!P14</f>
        <v>3</v>
      </c>
      <c r="O13" s="177">
        <f ca="1">uxb_scores_2008!Q14</f>
        <v>3</v>
      </c>
      <c r="P13" s="176">
        <f ca="1">uxb_scores_2008!R14</f>
        <v>3</v>
      </c>
      <c r="Q13" s="177">
        <f ca="1">uxb_scores_2008!S14</f>
        <v>4</v>
      </c>
      <c r="R13" s="176">
        <f ca="1">uxb_scores_2008!T14</f>
        <v>3</v>
      </c>
      <c r="S13" s="177">
        <f ca="1">uxb_scores_2008!U14</f>
        <v>2</v>
      </c>
      <c r="T13" s="176">
        <f ca="1">uxb_scores_2008!V14</f>
        <v>1</v>
      </c>
      <c r="U13" s="177">
        <f ca="1">uxb_scores_2008!W14</f>
        <v>2</v>
      </c>
      <c r="V13" s="176">
        <f ca="1">uxb_scores_2008!X14</f>
        <v>3</v>
      </c>
      <c r="W13" s="177">
        <f ca="1">uxb_scores_2008!Y14</f>
        <v>2</v>
      </c>
      <c r="X13" s="176">
        <f ca="1">uxb_scores_2008!Z14</f>
        <v>3</v>
      </c>
      <c r="Y13" s="177">
        <f ca="1">uxb_scores_2008!AA14</f>
        <v>2</v>
      </c>
      <c r="Z13" s="176">
        <f ca="1">uxb_scores_2008!AB14</f>
        <v>1</v>
      </c>
      <c r="AA13" s="177">
        <f ca="1">uxb_scores_2008!AC14</f>
        <v>1</v>
      </c>
    </row>
    <row r="14" spans="1:83">
      <c r="B14" t="str">
        <f ca="1">uxb_scores_2008!A15</f>
        <v>RF04</v>
      </c>
      <c r="C14" t="str">
        <f ca="1">uxb_scores_2008!B15</f>
        <v>RF00</v>
      </c>
      <c r="D14" s="175" t="str">
        <f ca="1">uxb_scores_2008!C15</f>
        <v>Regulatory and examination capacity</v>
      </c>
      <c r="E14" s="51" t="str">
        <f ca="1">REPT("|",F14*20)</f>
        <v>|||||</v>
      </c>
      <c r="F14" s="178">
        <f ca="1">uxb_scores_2008!I15</f>
        <v>0.25</v>
      </c>
      <c r="G14" s="43"/>
      <c r="H14" s="176">
        <f ca="1">uxb_scores_2008!J15</f>
        <v>0</v>
      </c>
      <c r="I14" s="177">
        <f ca="1">uxb_scores_2008!K15</f>
        <v>4</v>
      </c>
      <c r="J14" s="176">
        <f ca="1">uxb_scores_2008!L15</f>
        <v>1</v>
      </c>
      <c r="K14" s="177">
        <f ca="1">uxb_scores_2008!M15</f>
        <v>1</v>
      </c>
      <c r="L14" s="176">
        <f ca="1">uxb_scores_2008!N15</f>
        <v>3</v>
      </c>
      <c r="M14" s="177">
        <f ca="1">uxb_scores_2008!O15</f>
        <v>1</v>
      </c>
      <c r="N14" s="176">
        <f ca="1">uxb_scores_2008!P15</f>
        <v>0</v>
      </c>
      <c r="O14" s="177">
        <f ca="1">uxb_scores_2008!Q15</f>
        <v>3</v>
      </c>
      <c r="P14" s="176">
        <f ca="1">uxb_scores_2008!R15</f>
        <v>2</v>
      </c>
      <c r="Q14" s="177">
        <f ca="1">uxb_scores_2008!S15</f>
        <v>1</v>
      </c>
      <c r="R14" s="176">
        <f ca="1">uxb_scores_2008!T15</f>
        <v>1</v>
      </c>
      <c r="S14" s="177">
        <f ca="1">uxb_scores_2008!U15</f>
        <v>2</v>
      </c>
      <c r="T14" s="176">
        <f ca="1">uxb_scores_2008!V15</f>
        <v>1</v>
      </c>
      <c r="U14" s="177">
        <f ca="1">uxb_scores_2008!W15</f>
        <v>2</v>
      </c>
      <c r="V14" s="176">
        <f ca="1">uxb_scores_2008!X15</f>
        <v>2</v>
      </c>
      <c r="W14" s="177">
        <f ca="1">uxb_scores_2008!Y15</f>
        <v>2</v>
      </c>
      <c r="X14" s="176">
        <f ca="1">uxb_scores_2008!Z15</f>
        <v>2</v>
      </c>
      <c r="Y14" s="177">
        <f ca="1">uxb_scores_2008!AA15</f>
        <v>4</v>
      </c>
      <c r="Z14" s="176">
        <f ca="1">uxb_scores_2008!AB15</f>
        <v>1</v>
      </c>
      <c r="AA14" s="177">
        <f ca="1">uxb_scores_2008!AC15</f>
        <v>1</v>
      </c>
    </row>
    <row r="15" spans="1:83" ht="7.5" customHeight="1">
      <c r="D15" s="60"/>
      <c r="E15" s="61"/>
      <c r="F15" s="62"/>
      <c r="G15" s="61"/>
      <c r="H15" s="65"/>
      <c r="I15" s="63"/>
      <c r="J15" s="65"/>
      <c r="K15" s="63"/>
      <c r="L15" s="65"/>
      <c r="M15" s="63"/>
      <c r="N15" s="65"/>
      <c r="O15" s="63"/>
      <c r="P15" s="65"/>
      <c r="Q15" s="63"/>
      <c r="R15" s="65"/>
      <c r="S15" s="63"/>
      <c r="T15" s="65"/>
      <c r="U15" s="63"/>
      <c r="V15" s="65"/>
      <c r="W15" s="63"/>
      <c r="X15" s="65"/>
      <c r="Y15" s="63"/>
      <c r="Z15" s="65"/>
      <c r="AA15" s="63"/>
    </row>
    <row r="16" spans="1:83" s="52" customFormat="1" ht="19.5" customHeight="1">
      <c r="B16" s="53" t="str">
        <f ca="1">uxb_scores_2008!A5</f>
        <v>IC00</v>
      </c>
      <c r="C16" s="53" t="str">
        <f ca="1">uxb_scores_2008!B5</f>
        <v>OVERALL00</v>
      </c>
      <c r="D16" s="57" t="str">
        <f ca="1">uxb_scores_2008!C5</f>
        <v>Investment Climate</v>
      </c>
      <c r="E16" s="50"/>
      <c r="F16" s="58"/>
      <c r="G16" s="48"/>
      <c r="H16" s="64">
        <f ca="1">uxb_scores_2008!J5</f>
        <v>38.333333333333329</v>
      </c>
      <c r="I16" s="59">
        <f ca="1">uxb_scores_2008!K5</f>
        <v>46.944444444444443</v>
      </c>
      <c r="J16" s="64">
        <f ca="1">uxb_scores_2008!L5</f>
        <v>53.6111111111111</v>
      </c>
      <c r="K16" s="59">
        <f ca="1">uxb_scores_2008!M5</f>
        <v>74.166666666666671</v>
      </c>
      <c r="L16" s="64">
        <f ca="1">uxb_scores_2008!N5</f>
        <v>51.388888888888886</v>
      </c>
      <c r="M16" s="59">
        <f ca="1">uxb_scores_2008!O5</f>
        <v>59.708333333333314</v>
      </c>
      <c r="N16" s="64">
        <f ca="1">uxb_scores_2008!P5</f>
        <v>40</v>
      </c>
      <c r="O16" s="59">
        <f ca="1">uxb_scores_2008!Q5</f>
        <v>31.666666666666668</v>
      </c>
      <c r="P16" s="64">
        <f ca="1">uxb_scores_2008!R5</f>
        <v>49.166666666666657</v>
      </c>
      <c r="Q16" s="59">
        <f ca="1">uxb_scores_2008!S5</f>
        <v>40.833333333333329</v>
      </c>
      <c r="R16" s="64">
        <f ca="1">uxb_scores_2008!T5</f>
        <v>29.999999999999996</v>
      </c>
      <c r="S16" s="59">
        <f ca="1">uxb_scores_2008!U5</f>
        <v>35.541666666666657</v>
      </c>
      <c r="T16" s="64">
        <f ca="1">uxb_scores_2008!V5</f>
        <v>55.833333333333329</v>
      </c>
      <c r="U16" s="59">
        <f ca="1">uxb_scores_2008!W5</f>
        <v>58.333333333333329</v>
      </c>
      <c r="V16" s="64">
        <f ca="1">uxb_scores_2008!X5</f>
        <v>44.166666666666657</v>
      </c>
      <c r="W16" s="59">
        <f ca="1">uxb_scores_2008!Y5</f>
        <v>58.333333333333329</v>
      </c>
      <c r="X16" s="64">
        <f ca="1">uxb_scores_2008!Z5</f>
        <v>39.708333333333329</v>
      </c>
      <c r="Y16" s="59">
        <f ca="1">uxb_scores_2008!AA5</f>
        <v>58.041666666666671</v>
      </c>
      <c r="Z16" s="64">
        <f ca="1">uxb_scores_2008!AB5</f>
        <v>45.833333333333321</v>
      </c>
      <c r="AA16" s="59">
        <f ca="1">uxb_scores_2008!AC5</f>
        <v>41.375</v>
      </c>
    </row>
    <row r="17" spans="2:27">
      <c r="B17" t="str">
        <f ca="1">uxb_scores_2008!A17</f>
        <v>IC01</v>
      </c>
      <c r="C17" t="str">
        <f ca="1">uxb_scores_2008!B17</f>
        <v>IC00</v>
      </c>
      <c r="D17" s="175" t="str">
        <f ca="1">uxb_scores_2008!C17</f>
        <v>Political stability</v>
      </c>
      <c r="E17" s="51" t="str">
        <f t="shared" ref="E17:E22" si="0">REPT("|",F17*20)</f>
        <v>|||</v>
      </c>
      <c r="F17" s="178">
        <f ca="1">uxb_scores_2008!I17</f>
        <v>0.16666666666666666</v>
      </c>
      <c r="G17" s="179"/>
      <c r="H17" s="176">
        <f ca="1">uxb_scores_2008!J17</f>
        <v>2.2000000000000002</v>
      </c>
      <c r="I17" s="177">
        <f ca="1">uxb_scores_2008!K17</f>
        <v>1.4</v>
      </c>
      <c r="J17" s="176">
        <f ca="1">uxb_scores_2008!L17</f>
        <v>3</v>
      </c>
      <c r="K17" s="177">
        <f ca="1">uxb_scores_2008!M17</f>
        <v>3.2</v>
      </c>
      <c r="L17" s="176">
        <f ca="1">uxb_scores_2008!N17</f>
        <v>2.2000000000000002</v>
      </c>
      <c r="M17" s="177">
        <f ca="1">uxb_scores_2008!O17</f>
        <v>3.6</v>
      </c>
      <c r="N17" s="176">
        <f ca="1">uxb_scores_2008!P17</f>
        <v>2</v>
      </c>
      <c r="O17" s="177">
        <f ca="1">uxb_scores_2008!Q17</f>
        <v>0.8</v>
      </c>
      <c r="P17" s="176">
        <f ca="1">uxb_scores_2008!R17</f>
        <v>2.8</v>
      </c>
      <c r="Q17" s="177">
        <f ca="1">uxb_scores_2008!S17</f>
        <v>1.6</v>
      </c>
      <c r="R17" s="176">
        <f ca="1">uxb_scores_2008!T17</f>
        <v>1.4</v>
      </c>
      <c r="S17" s="177">
        <f ca="1">uxb_scores_2008!U17</f>
        <v>1.8</v>
      </c>
      <c r="T17" s="176">
        <f ca="1">uxb_scores_2008!V17</f>
        <v>2.6</v>
      </c>
      <c r="U17" s="177">
        <f ca="1">uxb_scores_2008!W17</f>
        <v>2.6</v>
      </c>
      <c r="V17" s="176">
        <f ca="1">uxb_scores_2008!X17</f>
        <v>2</v>
      </c>
      <c r="W17" s="177">
        <f ca="1">uxb_scores_2008!Y17</f>
        <v>2.2000000000000002</v>
      </c>
      <c r="X17" s="176">
        <f ca="1">uxb_scores_2008!Z17</f>
        <v>1.8</v>
      </c>
      <c r="Y17" s="177">
        <f ca="1">uxb_scores_2008!AA17</f>
        <v>2.2000000000000002</v>
      </c>
      <c r="Z17" s="176">
        <f ca="1">uxb_scores_2008!AB17</f>
        <v>2.8</v>
      </c>
      <c r="AA17" s="177">
        <f ca="1">uxb_scores_2008!AC17</f>
        <v>1.4</v>
      </c>
    </row>
    <row r="18" spans="2:27">
      <c r="B18" t="str">
        <f ca="1">uxb_scores_2008!A18</f>
        <v>IC02</v>
      </c>
      <c r="C18" t="str">
        <f ca="1">uxb_scores_2008!B18</f>
        <v>IC00</v>
      </c>
      <c r="D18" s="175" t="str">
        <f ca="1">uxb_scores_2008!C18</f>
        <v>Capital market development</v>
      </c>
      <c r="E18" s="51" t="str">
        <f t="shared" si="0"/>
        <v>|||</v>
      </c>
      <c r="F18" s="178">
        <f ca="1">uxb_scores_2008!I18</f>
        <v>0.16666666666666666</v>
      </c>
      <c r="G18" s="179"/>
      <c r="H18" s="176">
        <f ca="1">uxb_scores_2008!J18</f>
        <v>2</v>
      </c>
      <c r="I18" s="177">
        <f ca="1">uxb_scores_2008!K18</f>
        <v>1.2</v>
      </c>
      <c r="J18" s="176">
        <f ca="1">uxb_scores_2008!L18</f>
        <v>2.2000000000000002</v>
      </c>
      <c r="K18" s="177">
        <f ca="1">uxb_scores_2008!M18</f>
        <v>3.6</v>
      </c>
      <c r="L18" s="176">
        <f ca="1">uxb_scores_2008!N18</f>
        <v>1.8</v>
      </c>
      <c r="M18" s="177">
        <f ca="1">uxb_scores_2008!O18</f>
        <v>2.4</v>
      </c>
      <c r="N18" s="176">
        <f ca="1">uxb_scores_2008!P18</f>
        <v>0.6</v>
      </c>
      <c r="O18" s="177">
        <f ca="1">uxb_scores_2008!Q18</f>
        <v>0.8</v>
      </c>
      <c r="P18" s="176">
        <f ca="1">uxb_scores_2008!R18</f>
        <v>2</v>
      </c>
      <c r="Q18" s="177">
        <f ca="1">uxb_scores_2008!S18</f>
        <v>1.2</v>
      </c>
      <c r="R18" s="176">
        <f ca="1">uxb_scores_2008!T18</f>
        <v>0.8</v>
      </c>
      <c r="S18" s="177">
        <f ca="1">uxb_scores_2008!U18</f>
        <v>1.4</v>
      </c>
      <c r="T18" s="176">
        <f ca="1">uxb_scores_2008!V18</f>
        <v>1.8</v>
      </c>
      <c r="U18" s="177">
        <f ca="1">uxb_scores_2008!W18</f>
        <v>2.4</v>
      </c>
      <c r="V18" s="176">
        <f ca="1">uxb_scores_2008!X18</f>
        <v>1.6</v>
      </c>
      <c r="W18" s="177">
        <f ca="1">uxb_scores_2008!Y18</f>
        <v>2.8</v>
      </c>
      <c r="X18" s="176">
        <f ca="1">uxb_scores_2008!Z18</f>
        <v>1.4</v>
      </c>
      <c r="Y18" s="177">
        <f ca="1">uxb_scores_2008!AA18</f>
        <v>2.4</v>
      </c>
      <c r="Z18" s="176">
        <f ca="1">uxb_scores_2008!AB18</f>
        <v>1.2</v>
      </c>
      <c r="AA18" s="177">
        <f ca="1">uxb_scores_2008!AC18</f>
        <v>1.2</v>
      </c>
    </row>
    <row r="19" spans="2:27">
      <c r="B19" t="str">
        <f ca="1">uxb_scores_2008!A19</f>
        <v>IC03</v>
      </c>
      <c r="C19" t="str">
        <f ca="1">uxb_scores_2008!B19</f>
        <v>IC00</v>
      </c>
      <c r="D19" s="175" t="str">
        <f ca="1">uxb_scores_2008!C19</f>
        <v>Judicial system</v>
      </c>
      <c r="E19" s="51" t="str">
        <f t="shared" si="0"/>
        <v>|||</v>
      </c>
      <c r="F19" s="178">
        <f ca="1">uxb_scores_2008!I19</f>
        <v>0.16666666666666666</v>
      </c>
      <c r="G19" s="179"/>
      <c r="H19" s="176">
        <f ca="1">uxb_scores_2008!J19</f>
        <v>1</v>
      </c>
      <c r="I19" s="177">
        <f ca="1">uxb_scores_2008!K19</f>
        <v>0.66666666666666652</v>
      </c>
      <c r="J19" s="176">
        <f ca="1">uxb_scores_2008!L19</f>
        <v>1.6666666666666665</v>
      </c>
      <c r="K19" s="177">
        <f ca="1">uxb_scores_2008!M19</f>
        <v>3</v>
      </c>
      <c r="L19" s="176">
        <f ca="1">uxb_scores_2008!N19</f>
        <v>1.3333333333333335</v>
      </c>
      <c r="M19" s="177">
        <f ca="1">uxb_scores_2008!O19</f>
        <v>2.33</v>
      </c>
      <c r="N19" s="176">
        <f ca="1">uxb_scores_2008!P19</f>
        <v>1</v>
      </c>
      <c r="O19" s="177">
        <f ca="1">uxb_scores_2008!Q19</f>
        <v>0</v>
      </c>
      <c r="P19" s="176">
        <f ca="1">uxb_scores_2008!R19</f>
        <v>1</v>
      </c>
      <c r="Q19" s="177">
        <f ca="1">uxb_scores_2008!S19</f>
        <v>1</v>
      </c>
      <c r="R19" s="176">
        <f ca="1">uxb_scores_2008!T19</f>
        <v>1</v>
      </c>
      <c r="S19" s="177">
        <f ca="1">uxb_scores_2008!U19</f>
        <v>0.33</v>
      </c>
      <c r="T19" s="176">
        <f ca="1">uxb_scores_2008!V19</f>
        <v>2</v>
      </c>
      <c r="U19" s="177">
        <f ca="1">uxb_scores_2008!W19</f>
        <v>2</v>
      </c>
      <c r="V19" s="176">
        <f ca="1">uxb_scores_2008!X19</f>
        <v>0</v>
      </c>
      <c r="W19" s="177">
        <f ca="1">uxb_scores_2008!Y19</f>
        <v>2</v>
      </c>
      <c r="X19" s="176">
        <f ca="1">uxb_scores_2008!Z19</f>
        <v>1.33</v>
      </c>
      <c r="Y19" s="177">
        <f ca="1">uxb_scores_2008!AA19</f>
        <v>0.33</v>
      </c>
      <c r="Z19" s="176">
        <f ca="1">uxb_scores_2008!AB19</f>
        <v>2</v>
      </c>
      <c r="AA19" s="177">
        <f ca="1">uxb_scores_2008!AC19</f>
        <v>0.33</v>
      </c>
    </row>
    <row r="20" spans="2:27">
      <c r="B20" t="str">
        <f ca="1">uxb_scores_2008!A20</f>
        <v>IC04</v>
      </c>
      <c r="C20" t="str">
        <f ca="1">uxb_scores_2008!B20</f>
        <v>IC00</v>
      </c>
      <c r="D20" s="175" t="str">
        <f ca="1">uxb_scores_2008!C20</f>
        <v>Accounting standards</v>
      </c>
      <c r="E20" s="51" t="str">
        <f t="shared" si="0"/>
        <v>|||</v>
      </c>
      <c r="F20" s="178">
        <f ca="1">uxb_scores_2008!I20</f>
        <v>0.16666666666666666</v>
      </c>
      <c r="G20" s="179"/>
      <c r="H20" s="176">
        <f ca="1">uxb_scores_2008!J20</f>
        <v>2</v>
      </c>
      <c r="I20" s="177">
        <f ca="1">uxb_scores_2008!K20</f>
        <v>2</v>
      </c>
      <c r="J20" s="176">
        <f ca="1">uxb_scores_2008!L20</f>
        <v>2</v>
      </c>
      <c r="K20" s="177">
        <f ca="1">uxb_scores_2008!M20</f>
        <v>3</v>
      </c>
      <c r="L20" s="176">
        <f ca="1">uxb_scores_2008!N20</f>
        <v>2</v>
      </c>
      <c r="M20" s="177">
        <f ca="1">uxb_scores_2008!O20</f>
        <v>2</v>
      </c>
      <c r="N20" s="176">
        <f ca="1">uxb_scores_2008!P20</f>
        <v>3</v>
      </c>
      <c r="O20" s="177">
        <f ca="1">uxb_scores_2008!Q20</f>
        <v>3</v>
      </c>
      <c r="P20" s="176">
        <f ca="1">uxb_scores_2008!R20</f>
        <v>3</v>
      </c>
      <c r="Q20" s="177">
        <f ca="1">uxb_scores_2008!S20</f>
        <v>3</v>
      </c>
      <c r="R20" s="176">
        <f ca="1">uxb_scores_2008!T20</f>
        <v>1</v>
      </c>
      <c r="S20" s="177">
        <f ca="1">uxb_scores_2008!U20</f>
        <v>2</v>
      </c>
      <c r="T20" s="176">
        <f ca="1">uxb_scores_2008!V20</f>
        <v>3</v>
      </c>
      <c r="U20" s="177">
        <f ca="1">uxb_scores_2008!W20</f>
        <v>3</v>
      </c>
      <c r="V20" s="176">
        <f ca="1">uxb_scores_2008!X20</f>
        <v>3</v>
      </c>
      <c r="W20" s="177">
        <f ca="1">uxb_scores_2008!Y20</f>
        <v>3</v>
      </c>
      <c r="X20" s="176">
        <f ca="1">uxb_scores_2008!Z20</f>
        <v>1</v>
      </c>
      <c r="Y20" s="177">
        <f ca="1">uxb_scores_2008!AA20</f>
        <v>3</v>
      </c>
      <c r="Z20" s="176">
        <f ca="1">uxb_scores_2008!AB20</f>
        <v>2</v>
      </c>
      <c r="AA20" s="177">
        <f ca="1">uxb_scores_2008!AC20</f>
        <v>3</v>
      </c>
    </row>
    <row r="21" spans="2:27">
      <c r="B21" t="str">
        <f ca="1">uxb_scores_2008!A21</f>
        <v>IC05</v>
      </c>
      <c r="C21" t="str">
        <f ca="1">uxb_scores_2008!B21</f>
        <v>IC00</v>
      </c>
      <c r="D21" s="175" t="str">
        <f ca="1">uxb_scores_2008!C21</f>
        <v>Governance standards</v>
      </c>
      <c r="E21" s="51" t="str">
        <f t="shared" si="0"/>
        <v>|||</v>
      </c>
      <c r="F21" s="178">
        <f ca="1">uxb_scores_2008!I21</f>
        <v>0.16666666666666666</v>
      </c>
      <c r="G21" s="179"/>
      <c r="H21" s="176">
        <f ca="1">uxb_scores_2008!J21</f>
        <v>1</v>
      </c>
      <c r="I21" s="177">
        <f ca="1">uxb_scores_2008!K21</f>
        <v>3</v>
      </c>
      <c r="J21" s="176">
        <f ca="1">uxb_scores_2008!L21</f>
        <v>2</v>
      </c>
      <c r="K21" s="177">
        <f ca="1">uxb_scores_2008!M21</f>
        <v>3</v>
      </c>
      <c r="L21" s="176">
        <f ca="1">uxb_scores_2008!N21</f>
        <v>3</v>
      </c>
      <c r="M21" s="177">
        <f ca="1">uxb_scores_2008!O21</f>
        <v>2</v>
      </c>
      <c r="N21" s="176">
        <f ca="1">uxb_scores_2008!P21</f>
        <v>1</v>
      </c>
      <c r="O21" s="177">
        <f ca="1">uxb_scores_2008!Q21</f>
        <v>1</v>
      </c>
      <c r="P21" s="176">
        <f ca="1">uxb_scores_2008!R21</f>
        <v>1</v>
      </c>
      <c r="Q21" s="177">
        <f ca="1">uxb_scores_2008!S21</f>
        <v>1</v>
      </c>
      <c r="R21" s="176">
        <f ca="1">uxb_scores_2008!T21</f>
        <v>1</v>
      </c>
      <c r="S21" s="177">
        <f ca="1">uxb_scores_2008!U21</f>
        <v>1</v>
      </c>
      <c r="T21" s="176">
        <f ca="1">uxb_scores_2008!V21</f>
        <v>2</v>
      </c>
      <c r="U21" s="177">
        <f ca="1">uxb_scores_2008!W21</f>
        <v>2</v>
      </c>
      <c r="V21" s="176">
        <f ca="1">uxb_scores_2008!X21</f>
        <v>2</v>
      </c>
      <c r="W21" s="177">
        <f ca="1">uxb_scores_2008!Y21</f>
        <v>2</v>
      </c>
      <c r="X21" s="176">
        <f ca="1">uxb_scores_2008!Z21</f>
        <v>2</v>
      </c>
      <c r="Y21" s="177">
        <f ca="1">uxb_scores_2008!AA21</f>
        <v>3</v>
      </c>
      <c r="Z21" s="176">
        <f ca="1">uxb_scores_2008!AB21</f>
        <v>2</v>
      </c>
      <c r="AA21" s="177">
        <f ca="1">uxb_scores_2008!AC21</f>
        <v>1</v>
      </c>
    </row>
    <row r="22" spans="2:27">
      <c r="B22" t="str">
        <f ca="1">uxb_scores_2008!A22</f>
        <v>IC06</v>
      </c>
      <c r="C22" t="str">
        <f ca="1">uxb_scores_2008!B22</f>
        <v>IC00</v>
      </c>
      <c r="D22" s="175" t="str">
        <f ca="1">uxb_scores_2008!C22</f>
        <v>MFI transparency</v>
      </c>
      <c r="E22" s="51" t="str">
        <f t="shared" si="0"/>
        <v>|||</v>
      </c>
      <c r="F22" s="178">
        <f ca="1">uxb_scores_2008!I22</f>
        <v>0.16666666666666666</v>
      </c>
      <c r="G22" s="179"/>
      <c r="H22" s="176">
        <f ca="1">uxb_scores_2008!J22</f>
        <v>1</v>
      </c>
      <c r="I22" s="177">
        <f ca="1">uxb_scores_2008!K22</f>
        <v>3</v>
      </c>
      <c r="J22" s="176">
        <f ca="1">uxb_scores_2008!L22</f>
        <v>2</v>
      </c>
      <c r="K22" s="177">
        <f ca="1">uxb_scores_2008!M22</f>
        <v>2</v>
      </c>
      <c r="L22" s="176">
        <f ca="1">uxb_scores_2008!N22</f>
        <v>2</v>
      </c>
      <c r="M22" s="177">
        <f ca="1">uxb_scores_2008!O22</f>
        <v>2</v>
      </c>
      <c r="N22" s="176">
        <f ca="1">uxb_scores_2008!P22</f>
        <v>2</v>
      </c>
      <c r="O22" s="177">
        <f ca="1">uxb_scores_2008!Q22</f>
        <v>2</v>
      </c>
      <c r="P22" s="176">
        <f ca="1">uxb_scores_2008!R22</f>
        <v>2</v>
      </c>
      <c r="Q22" s="177">
        <f ca="1">uxb_scores_2008!S22</f>
        <v>2</v>
      </c>
      <c r="R22" s="176">
        <f ca="1">uxb_scores_2008!T22</f>
        <v>2</v>
      </c>
      <c r="S22" s="177">
        <f ca="1">uxb_scores_2008!U22</f>
        <v>2</v>
      </c>
      <c r="T22" s="176">
        <f ca="1">uxb_scores_2008!V22</f>
        <v>2</v>
      </c>
      <c r="U22" s="177">
        <f ca="1">uxb_scores_2008!W22</f>
        <v>2</v>
      </c>
      <c r="V22" s="176">
        <f ca="1">uxb_scores_2008!X22</f>
        <v>2</v>
      </c>
      <c r="W22" s="177">
        <f ca="1">uxb_scores_2008!Y22</f>
        <v>2</v>
      </c>
      <c r="X22" s="176">
        <f ca="1">uxb_scores_2008!Z22</f>
        <v>2</v>
      </c>
      <c r="Y22" s="177">
        <f ca="1">uxb_scores_2008!AA22</f>
        <v>3</v>
      </c>
      <c r="Z22" s="176">
        <f ca="1">uxb_scores_2008!AB22</f>
        <v>1</v>
      </c>
      <c r="AA22" s="177">
        <f ca="1">uxb_scores_2008!AC22</f>
        <v>3</v>
      </c>
    </row>
    <row r="23" spans="2:27" ht="7.5" customHeight="1">
      <c r="D23" s="60"/>
      <c r="E23" s="61"/>
      <c r="F23" s="62"/>
      <c r="G23" s="61"/>
      <c r="H23" s="65"/>
      <c r="I23" s="63"/>
      <c r="J23" s="65"/>
      <c r="K23" s="63"/>
      <c r="L23" s="65"/>
      <c r="M23" s="63"/>
      <c r="N23" s="65"/>
      <c r="O23" s="63"/>
      <c r="P23" s="65"/>
      <c r="Q23" s="63"/>
      <c r="R23" s="65"/>
      <c r="S23" s="63"/>
      <c r="T23" s="65"/>
      <c r="U23" s="63"/>
      <c r="V23" s="65"/>
      <c r="W23" s="63"/>
      <c r="X23" s="65"/>
      <c r="Y23" s="63"/>
      <c r="Z23" s="65"/>
      <c r="AA23" s="63"/>
    </row>
    <row r="24" spans="2:27" s="52" customFormat="1" ht="19.5" customHeight="1">
      <c r="B24" s="53" t="str">
        <f ca="1">uxb_scores_2008!A6</f>
        <v>ID00</v>
      </c>
      <c r="C24" s="53" t="str">
        <f ca="1">uxb_scores_2008!B6</f>
        <v>OVERALL00</v>
      </c>
      <c r="D24" s="57" t="str">
        <f ca="1">uxb_scores_2008!C6</f>
        <v>Institutional Development</v>
      </c>
      <c r="E24" s="50"/>
      <c r="F24" s="58"/>
      <c r="G24" s="48"/>
      <c r="H24" s="64">
        <f ca="1">uxb_scores_2008!J6</f>
        <v>33.333333333333329</v>
      </c>
      <c r="I24" s="59">
        <f ca="1">uxb_scores_2008!K6</f>
        <v>75</v>
      </c>
      <c r="J24" s="64">
        <f ca="1">uxb_scores_2008!L6</f>
        <v>33.333333333333329</v>
      </c>
      <c r="K24" s="59">
        <f ca="1">uxb_scores_2008!M6</f>
        <v>33.333333333333329</v>
      </c>
      <c r="L24" s="64">
        <f ca="1">uxb_scores_2008!N6</f>
        <v>58.333333333333329</v>
      </c>
      <c r="M24" s="59">
        <f ca="1">uxb_scores_2008!O6</f>
        <v>33.333333333333329</v>
      </c>
      <c r="N24" s="64">
        <f ca="1">uxb_scores_2008!P6</f>
        <v>50</v>
      </c>
      <c r="O24" s="59">
        <f ca="1">uxb_scores_2008!Q6</f>
        <v>83.333333333333329</v>
      </c>
      <c r="P24" s="64">
        <f ca="1">uxb_scores_2008!R6</f>
        <v>66.666666666666657</v>
      </c>
      <c r="Q24" s="59">
        <f ca="1">uxb_scores_2008!S6</f>
        <v>58.333333333333329</v>
      </c>
      <c r="R24" s="64">
        <f ca="1">uxb_scores_2008!T6</f>
        <v>16.666666666666664</v>
      </c>
      <c r="S24" s="59">
        <f ca="1">uxb_scores_2008!U6</f>
        <v>49.999999999999993</v>
      </c>
      <c r="T24" s="64">
        <f ca="1">uxb_scores_2008!V6</f>
        <v>0</v>
      </c>
      <c r="U24" s="59">
        <f ca="1">uxb_scores_2008!W6</f>
        <v>33.333333333333329</v>
      </c>
      <c r="V24" s="64">
        <f ca="1">uxb_scores_2008!X6</f>
        <v>66.666666666666657</v>
      </c>
      <c r="W24" s="59">
        <f ca="1">uxb_scores_2008!Y6</f>
        <v>33.333333333333329</v>
      </c>
      <c r="X24" s="64">
        <f ca="1">uxb_scores_2008!Z6</f>
        <v>41.666666666666657</v>
      </c>
      <c r="Y24" s="59">
        <f ca="1">uxb_scores_2008!AA6</f>
        <v>75</v>
      </c>
      <c r="Z24" s="64">
        <f ca="1">uxb_scores_2008!AB6</f>
        <v>16.666666666666664</v>
      </c>
      <c r="AA24" s="59">
        <f ca="1">uxb_scores_2008!AC6</f>
        <v>16.666666666666664</v>
      </c>
    </row>
    <row r="25" spans="2:27">
      <c r="B25" t="str">
        <f ca="1">uxb_scores_2008!A24</f>
        <v>ID01</v>
      </c>
      <c r="C25" t="str">
        <f ca="1">uxb_scores_2008!B24</f>
        <v>ID00</v>
      </c>
      <c r="D25" s="175" t="str">
        <f ca="1">uxb_scores_2008!C24</f>
        <v>Range of MFI Services</v>
      </c>
      <c r="E25" s="51" t="str">
        <f ca="1">REPT("|",F25*20)</f>
        <v>||||||</v>
      </c>
      <c r="F25" s="178">
        <f ca="1">uxb_scores_2008!I24</f>
        <v>0.33333333333333331</v>
      </c>
      <c r="G25" s="179"/>
      <c r="H25" s="176">
        <f ca="1">uxb_scores_2008!J24</f>
        <v>1</v>
      </c>
      <c r="I25" s="177">
        <f ca="1">uxb_scores_2008!K24</f>
        <v>4</v>
      </c>
      <c r="J25" s="176">
        <f ca="1">uxb_scores_2008!L24</f>
        <v>2</v>
      </c>
      <c r="K25" s="177">
        <f ca="1">uxb_scores_2008!M24</f>
        <v>2</v>
      </c>
      <c r="L25" s="176">
        <f ca="1">uxb_scores_2008!N24</f>
        <v>2</v>
      </c>
      <c r="M25" s="177">
        <f ca="1">uxb_scores_2008!O24</f>
        <v>2</v>
      </c>
      <c r="N25" s="176">
        <f ca="1">uxb_scores_2008!P24</f>
        <v>2</v>
      </c>
      <c r="O25" s="177">
        <f ca="1">uxb_scores_2008!Q24</f>
        <v>3</v>
      </c>
      <c r="P25" s="176">
        <f ca="1">uxb_scores_2008!R24</f>
        <v>2</v>
      </c>
      <c r="Q25" s="177">
        <f ca="1">uxb_scores_2008!S24</f>
        <v>2</v>
      </c>
      <c r="R25" s="176">
        <f ca="1">uxb_scores_2008!T24</f>
        <v>1</v>
      </c>
      <c r="S25" s="177">
        <f ca="1">uxb_scores_2008!U24</f>
        <v>2</v>
      </c>
      <c r="T25" s="176">
        <f ca="1">uxb_scores_2008!V24</f>
        <v>0</v>
      </c>
      <c r="U25" s="177">
        <f ca="1">uxb_scores_2008!W24</f>
        <v>2</v>
      </c>
      <c r="V25" s="176">
        <f ca="1">uxb_scores_2008!X24</f>
        <v>3</v>
      </c>
      <c r="W25" s="177">
        <f ca="1">uxb_scores_2008!Y24</f>
        <v>2</v>
      </c>
      <c r="X25" s="176">
        <f ca="1">uxb_scores_2008!Z24</f>
        <v>2</v>
      </c>
      <c r="Y25" s="177">
        <f ca="1">uxb_scores_2008!AA24</f>
        <v>3</v>
      </c>
      <c r="Z25" s="176">
        <f ca="1">uxb_scores_2008!AB24</f>
        <v>1</v>
      </c>
      <c r="AA25" s="177">
        <f ca="1">uxb_scores_2008!AC24</f>
        <v>2</v>
      </c>
    </row>
    <row r="26" spans="2:27">
      <c r="B26" t="str">
        <f ca="1">uxb_scores_2008!A25</f>
        <v>ID02</v>
      </c>
      <c r="C26" t="str">
        <f ca="1">uxb_scores_2008!B25</f>
        <v>ID00</v>
      </c>
      <c r="D26" s="175" t="str">
        <f ca="1">uxb_scores_2008!C25</f>
        <v>Credit bureaus</v>
      </c>
      <c r="E26" s="51" t="str">
        <f ca="1">REPT("|",F26*20)</f>
        <v>||||||</v>
      </c>
      <c r="F26" s="178">
        <f ca="1">uxb_scores_2008!I25</f>
        <v>0.33333333333333331</v>
      </c>
      <c r="G26" s="179"/>
      <c r="H26" s="176">
        <f ca="1">uxb_scores_2008!J25</f>
        <v>2</v>
      </c>
      <c r="I26" s="177">
        <f ca="1">uxb_scores_2008!K25</f>
        <v>3</v>
      </c>
      <c r="J26" s="176">
        <f ca="1">uxb_scores_2008!L25</f>
        <v>2</v>
      </c>
      <c r="K26" s="177">
        <f ca="1">uxb_scores_2008!M25</f>
        <v>2</v>
      </c>
      <c r="L26" s="176">
        <f ca="1">uxb_scores_2008!N25</f>
        <v>3</v>
      </c>
      <c r="M26" s="177">
        <f ca="1">uxb_scores_2008!O25</f>
        <v>2</v>
      </c>
      <c r="N26" s="176">
        <f ca="1">uxb_scores_2008!P25</f>
        <v>3</v>
      </c>
      <c r="O26" s="177">
        <f ca="1">uxb_scores_2008!Q25</f>
        <v>4</v>
      </c>
      <c r="P26" s="176">
        <f ca="1">uxb_scores_2008!R25</f>
        <v>4</v>
      </c>
      <c r="Q26" s="177">
        <f ca="1">uxb_scores_2008!S25</f>
        <v>2</v>
      </c>
      <c r="R26" s="176">
        <f ca="1">uxb_scores_2008!T25</f>
        <v>1</v>
      </c>
      <c r="S26" s="177">
        <f ca="1">uxb_scores_2008!U25</f>
        <v>2</v>
      </c>
      <c r="T26" s="176">
        <f ca="1">uxb_scores_2008!V25</f>
        <v>0</v>
      </c>
      <c r="U26" s="177">
        <f ca="1">uxb_scores_2008!W25</f>
        <v>2</v>
      </c>
      <c r="V26" s="176">
        <f ca="1">uxb_scores_2008!X25</f>
        <v>2</v>
      </c>
      <c r="W26" s="177">
        <f ca="1">uxb_scores_2008!Y25</f>
        <v>2</v>
      </c>
      <c r="X26" s="176">
        <f ca="1">uxb_scores_2008!Z25</f>
        <v>2</v>
      </c>
      <c r="Y26" s="177">
        <f ca="1">uxb_scores_2008!AA25</f>
        <v>3</v>
      </c>
      <c r="Z26" s="176">
        <f ca="1">uxb_scores_2008!AB25</f>
        <v>1</v>
      </c>
      <c r="AA26" s="177">
        <f ca="1">uxb_scores_2008!AC25</f>
        <v>0</v>
      </c>
    </row>
    <row r="27" spans="2:27">
      <c r="B27" t="str">
        <f ca="1">uxb_scores_2008!A26</f>
        <v>ID03</v>
      </c>
      <c r="C27" t="str">
        <f ca="1">uxb_scores_2008!B26</f>
        <v>ID00</v>
      </c>
      <c r="D27" s="175" t="str">
        <f ca="1">uxb_scores_2008!C26</f>
        <v>Level of competition</v>
      </c>
      <c r="E27" s="51" t="str">
        <f ca="1">REPT("|",F27*20)</f>
        <v>||||||</v>
      </c>
      <c r="F27" s="178">
        <f ca="1">uxb_scores_2008!I26</f>
        <v>0.33333333333333331</v>
      </c>
      <c r="G27" s="179"/>
      <c r="H27" s="176">
        <f ca="1">uxb_scores_2008!J26</f>
        <v>1</v>
      </c>
      <c r="I27" s="177">
        <f ca="1">uxb_scores_2008!K26</f>
        <v>2</v>
      </c>
      <c r="J27" s="176">
        <f ca="1">uxb_scores_2008!L26</f>
        <v>0</v>
      </c>
      <c r="K27" s="177">
        <f ca="1">uxb_scores_2008!M26</f>
        <v>0</v>
      </c>
      <c r="L27" s="176">
        <f ca="1">uxb_scores_2008!N26</f>
        <v>2</v>
      </c>
      <c r="M27" s="177">
        <f ca="1">uxb_scores_2008!O26</f>
        <v>0</v>
      </c>
      <c r="N27" s="176">
        <f ca="1">uxb_scores_2008!P26</f>
        <v>1</v>
      </c>
      <c r="O27" s="177">
        <f ca="1">uxb_scores_2008!Q26</f>
        <v>3</v>
      </c>
      <c r="P27" s="176">
        <f ca="1">uxb_scores_2008!R26</f>
        <v>2</v>
      </c>
      <c r="Q27" s="177">
        <f ca="1">uxb_scores_2008!S26</f>
        <v>3</v>
      </c>
      <c r="R27" s="176">
        <f ca="1">uxb_scores_2008!T26</f>
        <v>0</v>
      </c>
      <c r="S27" s="177">
        <f ca="1">uxb_scores_2008!U26</f>
        <v>2</v>
      </c>
      <c r="T27" s="176">
        <f ca="1">uxb_scores_2008!V26</f>
        <v>0</v>
      </c>
      <c r="U27" s="177">
        <f ca="1">uxb_scores_2008!W26</f>
        <v>0</v>
      </c>
      <c r="V27" s="176">
        <f ca="1">uxb_scores_2008!X26</f>
        <v>3</v>
      </c>
      <c r="W27" s="177">
        <f ca="1">uxb_scores_2008!Y26</f>
        <v>0</v>
      </c>
      <c r="X27" s="176">
        <f ca="1">uxb_scores_2008!Z26</f>
        <v>1</v>
      </c>
      <c r="Y27" s="177">
        <f ca="1">uxb_scores_2008!AA26</f>
        <v>3</v>
      </c>
      <c r="Z27" s="176">
        <f ca="1">uxb_scores_2008!AB26</f>
        <v>0</v>
      </c>
      <c r="AA27" s="177">
        <f ca="1">uxb_scores_2008!AC26</f>
        <v>0</v>
      </c>
    </row>
  </sheetData>
  <mergeCells count="1">
    <mergeCell ref="E3:F3"/>
  </mergeCells>
  <phoneticPr fontId="59" type="noConversion"/>
  <printOptions horizontalCentered="1"/>
  <pageMargins left="0.55118110236220474" right="0.55118110236220474" top="0.59055118110236227" bottom="0.78740157480314965" header="0.51181102362204722" footer="0.51181102362204722"/>
  <pageSetup scale="54"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sheetPr codeName="Sheet8">
    <pageSetUpPr fitToPage="1"/>
  </sheetPr>
  <dimension ref="A1:BZ27"/>
  <sheetViews>
    <sheetView showGridLines="0" showRowColHeaders="0" workbookViewId="0">
      <pane ySplit="3" topLeftCell="A4" activePane="bottomLeft" state="frozen"/>
      <selection activeCell="C12" sqref="C12"/>
      <selection pane="bottomLeft"/>
    </sheetView>
  </sheetViews>
  <sheetFormatPr defaultRowHeight="12.75"/>
  <cols>
    <col min="1" max="1" width="4.28515625" customWidth="1"/>
    <col min="2" max="2" width="3.140625" hidden="1" customWidth="1"/>
    <col min="3" max="3" width="2.85546875" hidden="1" customWidth="1"/>
    <col min="4" max="4" width="64.140625" bestFit="1" customWidth="1"/>
    <col min="5" max="6" width="6.7109375" customWidth="1"/>
    <col min="7" max="7" width="2.140625" customWidth="1"/>
  </cols>
  <sheetData>
    <row r="1" spans="1:78" s="9" customFormat="1" ht="21" customHeight="1">
      <c r="A1" s="7" t="s">
        <v>111</v>
      </c>
      <c r="B1" s="7"/>
      <c r="C1" s="7"/>
      <c r="D1" s="7"/>
      <c r="E1" s="7"/>
      <c r="F1" s="7"/>
      <c r="G1" s="7"/>
      <c r="H1" s="7"/>
      <c r="I1" s="7"/>
      <c r="J1" s="7"/>
      <c r="K1" s="7"/>
      <c r="L1" s="7"/>
      <c r="M1" s="7"/>
      <c r="N1" s="7"/>
      <c r="O1" s="7"/>
      <c r="P1" s="7"/>
      <c r="Q1" s="7"/>
      <c r="R1" s="7"/>
      <c r="S1" s="7"/>
      <c r="T1" s="7"/>
      <c r="U1" s="7"/>
      <c r="V1" s="7"/>
      <c r="W1" s="7"/>
      <c r="AM1" s="10"/>
      <c r="AN1" s="10"/>
      <c r="AO1" s="10"/>
      <c r="AP1" s="10"/>
      <c r="AS1" s="11"/>
      <c r="AT1" s="11"/>
      <c r="AU1" s="11"/>
      <c r="AV1" s="11"/>
      <c r="AW1" s="11"/>
      <c r="AX1" s="11"/>
      <c r="AY1" s="11"/>
      <c r="AZ1" s="11"/>
      <c r="BA1" s="11"/>
      <c r="BB1" s="11"/>
      <c r="BD1" s="11"/>
      <c r="BE1" s="11"/>
      <c r="BF1" s="11"/>
      <c r="BG1" s="11"/>
      <c r="BH1" s="11"/>
      <c r="BI1" s="11"/>
      <c r="BJ1" s="11"/>
      <c r="BK1" s="11"/>
      <c r="BL1" s="11"/>
      <c r="BM1" s="11"/>
      <c r="BN1" s="11"/>
      <c r="BP1" s="11"/>
      <c r="BQ1" s="11"/>
      <c r="BR1" s="11"/>
      <c r="BS1" s="11"/>
      <c r="BT1" s="11"/>
      <c r="BU1" s="11"/>
      <c r="BV1" s="11"/>
      <c r="BW1" s="11"/>
      <c r="BX1" s="11"/>
      <c r="BY1" s="11"/>
      <c r="BZ1" s="11"/>
    </row>
    <row r="2" spans="1:78" ht="3" customHeight="1"/>
    <row r="3" spans="1:78" ht="55.5">
      <c r="E3" s="225" t="s">
        <v>473</v>
      </c>
      <c r="F3" s="225"/>
      <c r="H3" s="39" t="str">
        <f ca="1">uxb_scores_2007!J1</f>
        <v>Argentina</v>
      </c>
      <c r="I3" s="40" t="str">
        <f ca="1">uxb_scores_2007!K1</f>
        <v>Bolivia</v>
      </c>
      <c r="J3" s="39" t="str">
        <f ca="1">uxb_scores_2007!L1</f>
        <v>Brazil</v>
      </c>
      <c r="K3" s="40" t="str">
        <f ca="1">uxb_scores_2007!M1</f>
        <v>Chile</v>
      </c>
      <c r="L3" s="39" t="str">
        <f ca="1">uxb_scores_2007!N1</f>
        <v>Colombia</v>
      </c>
      <c r="M3" s="40" t="str">
        <f ca="1">uxb_scores_2007!P1</f>
        <v>Dominican Rep</v>
      </c>
      <c r="N3" s="39" t="str">
        <f ca="1">uxb_scores_2007!Q1</f>
        <v>Ecuador</v>
      </c>
      <c r="O3" s="40" t="str">
        <f ca="1">uxb_scores_2007!R1</f>
        <v>El Salvador</v>
      </c>
      <c r="P3" s="39" t="str">
        <f ca="1">uxb_scores_2007!S1</f>
        <v>Guatemala</v>
      </c>
      <c r="Q3" s="40" t="str">
        <f ca="1">uxb_scores_2007!W1</f>
        <v>Mexico</v>
      </c>
      <c r="R3" s="39" t="str">
        <f ca="1">uxb_scores_2007!X1</f>
        <v>Nicaragua</v>
      </c>
      <c r="S3" s="40" t="str">
        <f ca="1">uxb_scores_2007!Z1</f>
        <v>Paraguay</v>
      </c>
      <c r="T3" s="39" t="str">
        <f ca="1">uxb_scores_2007!AA1</f>
        <v>Peru</v>
      </c>
      <c r="U3" s="40" t="str">
        <f ca="1">uxb_scores_2007!AB1</f>
        <v>Uruguay</v>
      </c>
      <c r="V3" s="39" t="str">
        <f ca="1">uxb_scores_2007!AC1</f>
        <v>Venezuela</v>
      </c>
    </row>
    <row r="4" spans="1:78" s="56" customFormat="1" ht="18.75" customHeight="1">
      <c r="A4" s="55"/>
      <c r="B4" s="54" t="str">
        <f ca="1">uxb_scores_2007!A3</f>
        <v>OVERALL00</v>
      </c>
      <c r="C4" s="54">
        <f ca="1">uxb_scores_2007!B3</f>
        <v>0</v>
      </c>
      <c r="D4" s="70" t="s">
        <v>472</v>
      </c>
      <c r="E4" s="70"/>
      <c r="F4" s="70"/>
      <c r="G4" s="70"/>
      <c r="H4" s="73">
        <f ca="1">uxb_scores_2007!J3</f>
        <v>26.833333333333336</v>
      </c>
      <c r="I4" s="71">
        <f ca="1">uxb_scores_2007!K3</f>
        <v>79.416666666666657</v>
      </c>
      <c r="J4" s="73">
        <f ca="1">uxb_scores_2007!L3</f>
        <v>43.25</v>
      </c>
      <c r="K4" s="71">
        <f ca="1">uxb_scores_2007!M3</f>
        <v>48.333333333333329</v>
      </c>
      <c r="L4" s="73">
        <f ca="1">uxb_scores_2007!N3</f>
        <v>46.083333333333329</v>
      </c>
      <c r="M4" s="71">
        <f ca="1">uxb_scores_2007!P3</f>
        <v>57.5</v>
      </c>
      <c r="N4" s="73">
        <f ca="1">uxb_scores_2007!Q3</f>
        <v>68.25</v>
      </c>
      <c r="O4" s="71">
        <f ca="1">uxb_scores_2007!R3</f>
        <v>61.499999999999993</v>
      </c>
      <c r="P4" s="73">
        <f ca="1">uxb_scores_2007!S3</f>
        <v>44</v>
      </c>
      <c r="Q4" s="71">
        <f ca="1">uxb_scores_2007!W3</f>
        <v>48.333333333333329</v>
      </c>
      <c r="R4" s="73">
        <f ca="1">uxb_scores_2007!X3</f>
        <v>53.833333333333329</v>
      </c>
      <c r="S4" s="71">
        <f ca="1">uxb_scores_2007!Z3</f>
        <v>52.916666666666664</v>
      </c>
      <c r="T4" s="73">
        <f ca="1">uxb_scores_2007!AA3</f>
        <v>74.083333333333343</v>
      </c>
      <c r="U4" s="71">
        <f ca="1">uxb_scores_2007!AB3</f>
        <v>35.833333333333329</v>
      </c>
      <c r="V4" s="73">
        <f ca="1">uxb_scores_2007!AC3</f>
        <v>27.416666666666664</v>
      </c>
    </row>
    <row r="5" spans="1:78" s="72" customFormat="1" ht="2.25" customHeight="1">
      <c r="A5" s="69"/>
      <c r="B5" s="70"/>
      <c r="C5" s="70"/>
      <c r="D5" s="70"/>
      <c r="E5" s="70"/>
      <c r="F5" s="70"/>
      <c r="G5" s="70"/>
      <c r="H5" s="73"/>
      <c r="I5" s="71"/>
      <c r="J5" s="73"/>
      <c r="K5" s="71"/>
      <c r="L5" s="73"/>
      <c r="M5" s="71"/>
      <c r="N5" s="73"/>
      <c r="O5" s="71"/>
      <c r="P5" s="73"/>
      <c r="Q5" s="71"/>
      <c r="R5" s="73"/>
      <c r="S5" s="71"/>
      <c r="T5" s="73"/>
      <c r="U5" s="71"/>
      <c r="V5" s="73"/>
    </row>
    <row r="6" spans="1:78">
      <c r="B6" s="47" t="str">
        <f ca="1">uxb_scores_2007!A4</f>
        <v>RF00</v>
      </c>
      <c r="C6" s="47" t="str">
        <f ca="1">uxb_scores_2007!B4</f>
        <v>OVERALL00</v>
      </c>
      <c r="D6" s="47" t="str">
        <f ca="1">uxb_scores_2007!C4</f>
        <v xml:space="preserve">Regulatory Framework </v>
      </c>
      <c r="E6" s="67" t="str">
        <f ca="1">REPT("|",F6*20)</f>
        <v>||||||||</v>
      </c>
      <c r="F6" s="180">
        <f ca="1">uxb_scores_2007!I4</f>
        <v>0.4</v>
      </c>
      <c r="G6" s="48"/>
      <c r="H6" s="68">
        <f ca="1">uxb_scores_2007!J4</f>
        <v>18.75</v>
      </c>
      <c r="I6" s="49">
        <f ca="1">uxb_scores_2007!K4</f>
        <v>100</v>
      </c>
      <c r="J6" s="68">
        <f ca="1">uxb_scores_2007!L4</f>
        <v>43.75</v>
      </c>
      <c r="K6" s="49">
        <f ca="1">uxb_scores_2007!M4</f>
        <v>50</v>
      </c>
      <c r="L6" s="68">
        <f ca="1">uxb_scores_2007!N4</f>
        <v>50</v>
      </c>
      <c r="M6" s="49">
        <f ca="1">uxb_scores_2007!P4</f>
        <v>50</v>
      </c>
      <c r="N6" s="68">
        <f ca="1">uxb_scores_2007!Q4</f>
        <v>75</v>
      </c>
      <c r="O6" s="49">
        <f ca="1">uxb_scores_2007!R4</f>
        <v>62.5</v>
      </c>
      <c r="P6" s="68">
        <f ca="1">uxb_scores_2007!S4</f>
        <v>56.25</v>
      </c>
      <c r="Q6" s="49">
        <f ca="1">uxb_scores_2007!W4</f>
        <v>50</v>
      </c>
      <c r="R6" s="68">
        <f ca="1">uxb_scores_2007!X4</f>
        <v>56.25</v>
      </c>
      <c r="S6" s="49">
        <f ca="1">uxb_scores_2007!Z4</f>
        <v>62.5</v>
      </c>
      <c r="T6" s="68">
        <f ca="1">uxb_scores_2007!AA4</f>
        <v>81.25</v>
      </c>
      <c r="U6" s="49">
        <f ca="1">uxb_scores_2007!AB4</f>
        <v>37.5</v>
      </c>
      <c r="V6" s="68">
        <f ca="1">uxb_scores_2007!AC4</f>
        <v>31.25</v>
      </c>
    </row>
    <row r="7" spans="1:78">
      <c r="B7" s="47" t="str">
        <f ca="1">uxb_scores_2007!A5</f>
        <v>IC00</v>
      </c>
      <c r="C7" s="47" t="str">
        <f ca="1">uxb_scores_2007!B5</f>
        <v>OVERALL00</v>
      </c>
      <c r="D7" s="47" t="str">
        <f ca="1">uxb_scores_2007!C5</f>
        <v>Investment Climate</v>
      </c>
      <c r="E7" s="67" t="str">
        <f ca="1">REPT("|",F7*20)</f>
        <v>||||</v>
      </c>
      <c r="F7" s="180">
        <f ca="1">uxb_scores_2007!I5</f>
        <v>0.2</v>
      </c>
      <c r="G7" s="48"/>
      <c r="H7" s="66">
        <f ca="1">uxb_scores_2007!J5</f>
        <v>46.666666666666664</v>
      </c>
      <c r="I7" s="49">
        <f ca="1">uxb_scores_2007!K5</f>
        <v>47.083333333333329</v>
      </c>
      <c r="J7" s="66">
        <f ca="1">uxb_scores_2007!L5</f>
        <v>62.083333333333329</v>
      </c>
      <c r="K7" s="49">
        <f ca="1">uxb_scores_2007!M5</f>
        <v>74.999999999999986</v>
      </c>
      <c r="L7" s="66">
        <f ca="1">uxb_scores_2007!N5</f>
        <v>47.083333333333329</v>
      </c>
      <c r="M7" s="49">
        <f ca="1">uxb_scores_2007!P5</f>
        <v>37.5</v>
      </c>
      <c r="N7" s="66">
        <f ca="1">uxb_scores_2007!Q5</f>
        <v>41.25</v>
      </c>
      <c r="O7" s="49">
        <f ca="1">uxb_scores_2007!R5</f>
        <v>49.166666666666657</v>
      </c>
      <c r="P7" s="66">
        <f ca="1">uxb_scores_2007!S5</f>
        <v>40.833333333333329</v>
      </c>
      <c r="Q7" s="49">
        <f ca="1">uxb_scores_2007!W5</f>
        <v>58.333333333333329</v>
      </c>
      <c r="R7" s="66">
        <f ca="1">uxb_scores_2007!X5</f>
        <v>39.999999999999993</v>
      </c>
      <c r="S7" s="49">
        <f ca="1">uxb_scores_2007!Z5</f>
        <v>39.583333333333329</v>
      </c>
      <c r="T7" s="66">
        <f ca="1">uxb_scores_2007!AA5</f>
        <v>57.916666666666671</v>
      </c>
      <c r="U7" s="49">
        <f ca="1">uxb_scores_2007!AB5</f>
        <v>54.166666666666657</v>
      </c>
      <c r="V7" s="66">
        <f ca="1">uxb_scores_2007!AC5</f>
        <v>41.25</v>
      </c>
    </row>
    <row r="8" spans="1:78">
      <c r="B8" s="47" t="str">
        <f ca="1">uxb_scores_2007!A6</f>
        <v>ID00</v>
      </c>
      <c r="C8" s="47" t="str">
        <f ca="1">uxb_scores_2007!B6</f>
        <v>OVERALL00</v>
      </c>
      <c r="D8" s="47" t="str">
        <f ca="1">uxb_scores_2007!C6</f>
        <v>Institutional Development</v>
      </c>
      <c r="E8" s="67" t="str">
        <f ca="1">REPT("|",F8*20)</f>
        <v>||||||||</v>
      </c>
      <c r="F8" s="180">
        <f ca="1">uxb_scores_2007!I6</f>
        <v>0.4</v>
      </c>
      <c r="G8" s="48"/>
      <c r="H8" s="66">
        <f ca="1">uxb_scores_2007!J6</f>
        <v>24.999999999999996</v>
      </c>
      <c r="I8" s="49">
        <f ca="1">uxb_scores_2007!K6</f>
        <v>75</v>
      </c>
      <c r="J8" s="66">
        <f ca="1">uxb_scores_2007!L6</f>
        <v>33.333333333333329</v>
      </c>
      <c r="K8" s="49">
        <f ca="1">uxb_scores_2007!M6</f>
        <v>33.333333333333329</v>
      </c>
      <c r="L8" s="66">
        <f ca="1">uxb_scores_2007!N6</f>
        <v>41.666666666666657</v>
      </c>
      <c r="M8" s="49">
        <f ca="1">uxb_scores_2007!P6</f>
        <v>75</v>
      </c>
      <c r="N8" s="66">
        <f ca="1">uxb_scores_2007!Q6</f>
        <v>75</v>
      </c>
      <c r="O8" s="49">
        <f ca="1">uxb_scores_2007!R6</f>
        <v>66.666666666666657</v>
      </c>
      <c r="P8" s="66">
        <f ca="1">uxb_scores_2007!S6</f>
        <v>33.333333333333329</v>
      </c>
      <c r="Q8" s="49">
        <f ca="1">uxb_scores_2007!W6</f>
        <v>41.666666666666657</v>
      </c>
      <c r="R8" s="66">
        <f ca="1">uxb_scores_2007!X6</f>
        <v>58.333333333333329</v>
      </c>
      <c r="S8" s="49">
        <f ca="1">uxb_scores_2007!Z6</f>
        <v>49.999999999999993</v>
      </c>
      <c r="T8" s="66">
        <f ca="1">uxb_scores_2007!AA6</f>
        <v>75</v>
      </c>
      <c r="U8" s="49">
        <f ca="1">uxb_scores_2007!AB6</f>
        <v>24.999999999999996</v>
      </c>
      <c r="V8" s="66">
        <f ca="1">uxb_scores_2007!AC6</f>
        <v>16.666666666666664</v>
      </c>
    </row>
    <row r="9" spans="1:78" ht="9" customHeight="1">
      <c r="B9" s="41"/>
      <c r="C9" s="41"/>
      <c r="D9" s="41"/>
      <c r="E9" s="44"/>
      <c r="F9" s="41"/>
      <c r="G9" s="44"/>
      <c r="H9" s="42"/>
      <c r="I9" s="42"/>
      <c r="J9" s="42"/>
      <c r="K9" s="42"/>
      <c r="L9" s="42"/>
      <c r="M9" s="42"/>
      <c r="N9" s="42"/>
      <c r="O9" s="42"/>
      <c r="P9" s="42"/>
      <c r="Q9" s="42"/>
      <c r="R9" s="42"/>
      <c r="S9" s="42"/>
      <c r="T9" s="42"/>
      <c r="U9" s="42"/>
      <c r="V9" s="42"/>
    </row>
    <row r="10" spans="1:78" s="52" customFormat="1" ht="19.5" customHeight="1">
      <c r="B10" s="53" t="str">
        <f ca="1">uxb_scores_2007!A4</f>
        <v>RF00</v>
      </c>
      <c r="C10" s="53" t="str">
        <f ca="1">uxb_scores_2007!B4</f>
        <v>OVERALL00</v>
      </c>
      <c r="D10" s="57" t="str">
        <f ca="1">uxb_scores_2007!C4</f>
        <v xml:space="preserve">Regulatory Framework </v>
      </c>
      <c r="E10" s="50"/>
      <c r="F10" s="58"/>
      <c r="G10" s="48"/>
      <c r="H10" s="64">
        <f ca="1">uxb_scores_2007!J4</f>
        <v>18.75</v>
      </c>
      <c r="I10" s="59">
        <f ca="1">uxb_scores_2007!K4</f>
        <v>100</v>
      </c>
      <c r="J10" s="64">
        <f ca="1">uxb_scores_2007!L4</f>
        <v>43.75</v>
      </c>
      <c r="K10" s="59">
        <f ca="1">uxb_scores_2007!M4</f>
        <v>50</v>
      </c>
      <c r="L10" s="64">
        <f ca="1">uxb_scores_2007!N4</f>
        <v>50</v>
      </c>
      <c r="M10" s="59">
        <f ca="1">uxb_scores_2007!P4</f>
        <v>50</v>
      </c>
      <c r="N10" s="64">
        <f ca="1">uxb_scores_2007!Q4</f>
        <v>75</v>
      </c>
      <c r="O10" s="59">
        <f ca="1">uxb_scores_2007!R4</f>
        <v>62.5</v>
      </c>
      <c r="P10" s="64">
        <f ca="1">uxb_scores_2007!S4</f>
        <v>56.25</v>
      </c>
      <c r="Q10" s="59">
        <f ca="1">uxb_scores_2007!W4</f>
        <v>50</v>
      </c>
      <c r="R10" s="64">
        <f ca="1">uxb_scores_2007!X4</f>
        <v>56.25</v>
      </c>
      <c r="S10" s="59">
        <f ca="1">uxb_scores_2007!Z4</f>
        <v>62.5</v>
      </c>
      <c r="T10" s="64">
        <f ca="1">uxb_scores_2007!AA4</f>
        <v>81.25</v>
      </c>
      <c r="U10" s="59">
        <f ca="1">uxb_scores_2007!AB4</f>
        <v>37.5</v>
      </c>
      <c r="V10" s="64">
        <f ca="1">uxb_scores_2007!AC4</f>
        <v>31.25</v>
      </c>
    </row>
    <row r="11" spans="1:78">
      <c r="B11" t="str">
        <f ca="1">uxb_scores_2007!A12</f>
        <v>RF01</v>
      </c>
      <c r="C11" t="str">
        <f ca="1">uxb_scores_2007!B12</f>
        <v>RF00</v>
      </c>
      <c r="D11" s="175" t="str">
        <f ca="1">uxb_scores_2007!C12</f>
        <v>Regulation of microcredit operations</v>
      </c>
      <c r="E11" s="51" t="str">
        <f ca="1">REPT("|",F11*20)</f>
        <v>|||||</v>
      </c>
      <c r="F11" s="178">
        <f ca="1">uxb_scores_2007!I12</f>
        <v>0.25</v>
      </c>
      <c r="G11" s="43"/>
      <c r="H11" s="176">
        <f ca="1">uxb_scores_2007!J12</f>
        <v>1</v>
      </c>
      <c r="I11" s="177">
        <f ca="1">uxb_scores_2007!K12</f>
        <v>4</v>
      </c>
      <c r="J11" s="176">
        <f ca="1">uxb_scores_2007!L12</f>
        <v>2</v>
      </c>
      <c r="K11" s="177">
        <f ca="1">uxb_scores_2007!M12</f>
        <v>2</v>
      </c>
      <c r="L11" s="176">
        <f ca="1">uxb_scores_2007!N12</f>
        <v>2</v>
      </c>
      <c r="M11" s="177">
        <f ca="1">uxb_scores_2007!P12</f>
        <v>3</v>
      </c>
      <c r="N11" s="176">
        <f ca="1">uxb_scores_2007!Q12</f>
        <v>2</v>
      </c>
      <c r="O11" s="177">
        <f ca="1">uxb_scores_2007!R12</f>
        <v>2</v>
      </c>
      <c r="P11" s="176">
        <f ca="1">uxb_scores_2007!S12</f>
        <v>3</v>
      </c>
      <c r="Q11" s="177">
        <f ca="1">uxb_scores_2007!W12</f>
        <v>2</v>
      </c>
      <c r="R11" s="176">
        <f ca="1">uxb_scores_2007!X12</f>
        <v>2</v>
      </c>
      <c r="S11" s="177">
        <f ca="1">uxb_scores_2007!Z12</f>
        <v>3</v>
      </c>
      <c r="T11" s="176">
        <f ca="1">uxb_scores_2007!AA12</f>
        <v>4</v>
      </c>
      <c r="U11" s="177">
        <f ca="1">uxb_scores_2007!AB12</f>
        <v>3</v>
      </c>
      <c r="V11" s="176">
        <f ca="1">uxb_scores_2007!AC12</f>
        <v>1</v>
      </c>
    </row>
    <row r="12" spans="1:78">
      <c r="B12" t="str">
        <f ca="1">uxb_scores_2007!A13</f>
        <v>RF02</v>
      </c>
      <c r="C12" t="str">
        <f ca="1">uxb_scores_2007!B13</f>
        <v>RF00</v>
      </c>
      <c r="D12" s="175" t="str">
        <f ca="1">uxb_scores_2007!C13</f>
        <v>Formation and operation of regulated/supervised specialised MFIs</v>
      </c>
      <c r="E12" s="51" t="str">
        <f ca="1">REPT("|",F12*20)</f>
        <v>|||||</v>
      </c>
      <c r="F12" s="178">
        <f ca="1">uxb_scores_2007!I13</f>
        <v>0.25</v>
      </c>
      <c r="G12" s="43"/>
      <c r="H12" s="176">
        <f ca="1">uxb_scores_2007!J13</f>
        <v>1</v>
      </c>
      <c r="I12" s="177">
        <f ca="1">uxb_scores_2007!K13</f>
        <v>4</v>
      </c>
      <c r="J12" s="176">
        <f ca="1">uxb_scores_2007!L13</f>
        <v>2</v>
      </c>
      <c r="K12" s="177">
        <f ca="1">uxb_scores_2007!M13</f>
        <v>1</v>
      </c>
      <c r="L12" s="176">
        <f ca="1">uxb_scores_2007!N13</f>
        <v>1</v>
      </c>
      <c r="M12" s="177">
        <f ca="1">uxb_scores_2007!P13</f>
        <v>2</v>
      </c>
      <c r="N12" s="176">
        <f ca="1">uxb_scores_2007!Q13</f>
        <v>3</v>
      </c>
      <c r="O12" s="177">
        <f ca="1">uxb_scores_2007!R13</f>
        <v>3</v>
      </c>
      <c r="P12" s="176">
        <f ca="1">uxb_scores_2007!S13</f>
        <v>1</v>
      </c>
      <c r="Q12" s="177">
        <f ca="1">uxb_scores_2007!W13</f>
        <v>2</v>
      </c>
      <c r="R12" s="176">
        <f ca="1">uxb_scores_2007!X13</f>
        <v>2</v>
      </c>
      <c r="S12" s="177">
        <f ca="1">uxb_scores_2007!Z13</f>
        <v>2</v>
      </c>
      <c r="T12" s="176">
        <f ca="1">uxb_scores_2007!AA13</f>
        <v>3</v>
      </c>
      <c r="U12" s="177">
        <f ca="1">uxb_scores_2007!AB13</f>
        <v>1</v>
      </c>
      <c r="V12" s="176">
        <f ca="1">uxb_scores_2007!AC13</f>
        <v>1</v>
      </c>
    </row>
    <row r="13" spans="1:78">
      <c r="B13" t="str">
        <f ca="1">uxb_scores_2007!A14</f>
        <v>RF03</v>
      </c>
      <c r="C13" t="str">
        <f ca="1">uxb_scores_2007!B14</f>
        <v>RF00</v>
      </c>
      <c r="D13" s="175" t="str">
        <f ca="1">uxb_scores_2007!C14</f>
        <v>Formation and operation of non-regulated MFIs</v>
      </c>
      <c r="E13" s="51" t="str">
        <f ca="1">REPT("|",F13*20)</f>
        <v>|||||</v>
      </c>
      <c r="F13" s="178">
        <f ca="1">uxb_scores_2007!I14</f>
        <v>0.25</v>
      </c>
      <c r="G13" s="43"/>
      <c r="H13" s="176">
        <f ca="1">uxb_scores_2007!J14</f>
        <v>1</v>
      </c>
      <c r="I13" s="177">
        <f ca="1">uxb_scores_2007!K14</f>
        <v>4</v>
      </c>
      <c r="J13" s="176">
        <f ca="1">uxb_scores_2007!L14</f>
        <v>2</v>
      </c>
      <c r="K13" s="177">
        <f ca="1">uxb_scores_2007!M14</f>
        <v>3</v>
      </c>
      <c r="L13" s="176">
        <f ca="1">uxb_scores_2007!N14</f>
        <v>3</v>
      </c>
      <c r="M13" s="177">
        <f ca="1">uxb_scores_2007!P14</f>
        <v>3</v>
      </c>
      <c r="N13" s="176">
        <f ca="1">uxb_scores_2007!Q14</f>
        <v>4</v>
      </c>
      <c r="O13" s="177">
        <f ca="1">uxb_scores_2007!R14</f>
        <v>3</v>
      </c>
      <c r="P13" s="176">
        <f ca="1">uxb_scores_2007!S14</f>
        <v>4</v>
      </c>
      <c r="Q13" s="177">
        <f ca="1">uxb_scores_2007!W14</f>
        <v>2</v>
      </c>
      <c r="R13" s="176">
        <f ca="1">uxb_scores_2007!X14</f>
        <v>3</v>
      </c>
      <c r="S13" s="177">
        <f ca="1">uxb_scores_2007!Z14</f>
        <v>3</v>
      </c>
      <c r="T13" s="176">
        <f ca="1">uxb_scores_2007!AA14</f>
        <v>2</v>
      </c>
      <c r="U13" s="177">
        <f ca="1">uxb_scores_2007!AB14</f>
        <v>1</v>
      </c>
      <c r="V13" s="176">
        <f ca="1">uxb_scores_2007!AC14</f>
        <v>1</v>
      </c>
    </row>
    <row r="14" spans="1:78">
      <c r="B14" t="str">
        <f ca="1">uxb_scores_2007!A15</f>
        <v>RF04</v>
      </c>
      <c r="C14" t="str">
        <f ca="1">uxb_scores_2007!B15</f>
        <v>RF00</v>
      </c>
      <c r="D14" s="175" t="str">
        <f ca="1">uxb_scores_2007!C15</f>
        <v>Regulatory and examination capacity</v>
      </c>
      <c r="E14" s="51" t="str">
        <f ca="1">REPT("|",F14*20)</f>
        <v>|||||</v>
      </c>
      <c r="F14" s="178">
        <f ca="1">uxb_scores_2007!I15</f>
        <v>0.25</v>
      </c>
      <c r="G14" s="43"/>
      <c r="H14" s="176">
        <f ca="1">uxb_scores_2007!J15</f>
        <v>0</v>
      </c>
      <c r="I14" s="177">
        <f ca="1">uxb_scores_2007!K15</f>
        <v>4</v>
      </c>
      <c r="J14" s="176">
        <f ca="1">uxb_scores_2007!L15</f>
        <v>1</v>
      </c>
      <c r="K14" s="177">
        <f ca="1">uxb_scores_2007!M15</f>
        <v>2</v>
      </c>
      <c r="L14" s="176">
        <f ca="1">uxb_scores_2007!N15</f>
        <v>2</v>
      </c>
      <c r="M14" s="177">
        <f ca="1">uxb_scores_2007!P15</f>
        <v>0</v>
      </c>
      <c r="N14" s="176">
        <f ca="1">uxb_scores_2007!Q15</f>
        <v>3</v>
      </c>
      <c r="O14" s="177">
        <f ca="1">uxb_scores_2007!R15</f>
        <v>2</v>
      </c>
      <c r="P14" s="176">
        <f ca="1">uxb_scores_2007!S15</f>
        <v>1</v>
      </c>
      <c r="Q14" s="177">
        <f ca="1">uxb_scores_2007!W15</f>
        <v>2</v>
      </c>
      <c r="R14" s="176">
        <f ca="1">uxb_scores_2007!X15</f>
        <v>2</v>
      </c>
      <c r="S14" s="177">
        <f ca="1">uxb_scores_2007!Z15</f>
        <v>2</v>
      </c>
      <c r="T14" s="176">
        <f ca="1">uxb_scores_2007!AA15</f>
        <v>4</v>
      </c>
      <c r="U14" s="177">
        <f ca="1">uxb_scores_2007!AB15</f>
        <v>1</v>
      </c>
      <c r="V14" s="176">
        <f ca="1">uxb_scores_2007!AC15</f>
        <v>2</v>
      </c>
    </row>
    <row r="15" spans="1:78" ht="7.5" customHeight="1">
      <c r="D15" s="60"/>
      <c r="E15" s="61"/>
      <c r="F15" s="62"/>
      <c r="G15" s="61"/>
      <c r="H15" s="65"/>
      <c r="I15" s="63"/>
      <c r="J15" s="65"/>
      <c r="K15" s="63"/>
      <c r="L15" s="65"/>
      <c r="M15" s="63"/>
      <c r="N15" s="65"/>
      <c r="O15" s="63"/>
      <c r="P15" s="65"/>
      <c r="Q15" s="63"/>
      <c r="R15" s="65"/>
      <c r="S15" s="63"/>
      <c r="T15" s="65"/>
      <c r="U15" s="63"/>
      <c r="V15" s="65"/>
    </row>
    <row r="16" spans="1:78" s="52" customFormat="1" ht="19.5" customHeight="1">
      <c r="B16" s="53" t="str">
        <f ca="1">uxb_scores_2007!A5</f>
        <v>IC00</v>
      </c>
      <c r="C16" s="53" t="str">
        <f ca="1">uxb_scores_2007!B5</f>
        <v>OVERALL00</v>
      </c>
      <c r="D16" s="57" t="str">
        <f ca="1">uxb_scores_2007!C5</f>
        <v>Investment Climate</v>
      </c>
      <c r="E16" s="50"/>
      <c r="F16" s="58"/>
      <c r="G16" s="48"/>
      <c r="H16" s="64">
        <f ca="1">uxb_scores_2007!J5</f>
        <v>46.666666666666664</v>
      </c>
      <c r="I16" s="59">
        <f ca="1">uxb_scores_2007!K5</f>
        <v>47.083333333333329</v>
      </c>
      <c r="J16" s="64">
        <f ca="1">uxb_scores_2007!L5</f>
        <v>62.083333333333329</v>
      </c>
      <c r="K16" s="59">
        <f ca="1">uxb_scores_2007!M5</f>
        <v>74.999999999999986</v>
      </c>
      <c r="L16" s="64">
        <f ca="1">uxb_scores_2007!N5</f>
        <v>47.083333333333329</v>
      </c>
      <c r="M16" s="59">
        <f ca="1">uxb_scores_2007!P5</f>
        <v>37.5</v>
      </c>
      <c r="N16" s="64">
        <f ca="1">uxb_scores_2007!Q5</f>
        <v>41.25</v>
      </c>
      <c r="O16" s="59">
        <f ca="1">uxb_scores_2007!R5</f>
        <v>49.166666666666657</v>
      </c>
      <c r="P16" s="64">
        <f ca="1">uxb_scores_2007!S5</f>
        <v>40.833333333333329</v>
      </c>
      <c r="Q16" s="59">
        <f ca="1">uxb_scores_2007!W5</f>
        <v>58.333333333333329</v>
      </c>
      <c r="R16" s="64">
        <f ca="1">uxb_scores_2007!X5</f>
        <v>39.999999999999993</v>
      </c>
      <c r="S16" s="59">
        <f ca="1">uxb_scores_2007!Z5</f>
        <v>39.583333333333329</v>
      </c>
      <c r="T16" s="64">
        <f ca="1">uxb_scores_2007!AA5</f>
        <v>57.916666666666671</v>
      </c>
      <c r="U16" s="59">
        <f ca="1">uxb_scores_2007!AB5</f>
        <v>54.166666666666657</v>
      </c>
      <c r="V16" s="64">
        <f ca="1">uxb_scores_2007!AC5</f>
        <v>41.25</v>
      </c>
    </row>
    <row r="17" spans="2:22">
      <c r="B17" t="str">
        <f ca="1">uxb_scores_2007!A17</f>
        <v>IC01</v>
      </c>
      <c r="C17" t="str">
        <f ca="1">uxb_scores_2007!B17</f>
        <v>IC00</v>
      </c>
      <c r="D17" s="175" t="str">
        <f ca="1">uxb_scores_2007!C17</f>
        <v>Political stability</v>
      </c>
      <c r="E17" s="51" t="str">
        <f t="shared" ref="E17:E22" si="0">REPT("|",F17*20)</f>
        <v>|||</v>
      </c>
      <c r="F17" s="178">
        <f ca="1">uxb_scores_2007!I17</f>
        <v>0.16666666666666666</v>
      </c>
      <c r="G17" s="179"/>
      <c r="H17" s="176">
        <f ca="1">uxb_scores_2007!J17</f>
        <v>2.2000000000000002</v>
      </c>
      <c r="I17" s="177">
        <f ca="1">uxb_scores_2007!K17</f>
        <v>1.2</v>
      </c>
      <c r="J17" s="176">
        <f ca="1">uxb_scores_2007!L17</f>
        <v>3</v>
      </c>
      <c r="K17" s="177">
        <f ca="1">uxb_scores_2007!M17</f>
        <v>3.2</v>
      </c>
      <c r="L17" s="176">
        <f ca="1">uxb_scores_2007!N17</f>
        <v>2.2000000000000002</v>
      </c>
      <c r="M17" s="177">
        <f ca="1">uxb_scores_2007!P17</f>
        <v>2</v>
      </c>
      <c r="N17" s="176">
        <f ca="1">uxb_scores_2007!Q17</f>
        <v>0.8</v>
      </c>
      <c r="O17" s="177">
        <f ca="1">uxb_scores_2007!R17</f>
        <v>2.8</v>
      </c>
      <c r="P17" s="176">
        <f ca="1">uxb_scores_2007!S17</f>
        <v>1.6</v>
      </c>
      <c r="Q17" s="177">
        <f ca="1">uxb_scores_2007!W17</f>
        <v>2.6</v>
      </c>
      <c r="R17" s="176">
        <f ca="1">uxb_scores_2007!X17</f>
        <v>2</v>
      </c>
      <c r="S17" s="177">
        <f ca="1">uxb_scores_2007!Z17</f>
        <v>1.8</v>
      </c>
      <c r="T17" s="176">
        <f ca="1">uxb_scores_2007!AA17</f>
        <v>2.2000000000000002</v>
      </c>
      <c r="U17" s="177">
        <f ca="1">uxb_scores_2007!AB17</f>
        <v>2.8</v>
      </c>
      <c r="V17" s="176">
        <f ca="1">uxb_scores_2007!AC17</f>
        <v>1.4</v>
      </c>
    </row>
    <row r="18" spans="2:22">
      <c r="B18" t="str">
        <f ca="1">uxb_scores_2007!A18</f>
        <v>IC02</v>
      </c>
      <c r="C18" t="str">
        <f ca="1">uxb_scores_2007!B18</f>
        <v>IC00</v>
      </c>
      <c r="D18" s="175" t="str">
        <f ca="1">uxb_scores_2007!C18</f>
        <v>Capital market development</v>
      </c>
      <c r="E18" s="51" t="str">
        <f t="shared" si="0"/>
        <v>|||</v>
      </c>
      <c r="F18" s="178">
        <f ca="1">uxb_scores_2007!I18</f>
        <v>0.16666666666666666</v>
      </c>
      <c r="G18" s="179"/>
      <c r="H18" s="176">
        <f ca="1">uxb_scores_2007!J18</f>
        <v>2</v>
      </c>
      <c r="I18" s="177">
        <f ca="1">uxb_scores_2007!K18</f>
        <v>1.4</v>
      </c>
      <c r="J18" s="176">
        <f ca="1">uxb_scores_2007!L18</f>
        <v>2.2000000000000002</v>
      </c>
      <c r="K18" s="177">
        <f ca="1">uxb_scores_2007!M18</f>
        <v>3.8</v>
      </c>
      <c r="L18" s="176">
        <f ca="1">uxb_scores_2007!N18</f>
        <v>1.8</v>
      </c>
      <c r="M18" s="177">
        <f ca="1">uxb_scores_2007!P18</f>
        <v>1</v>
      </c>
      <c r="N18" s="176">
        <f ca="1">uxb_scores_2007!Q18</f>
        <v>0.8</v>
      </c>
      <c r="O18" s="177">
        <f ca="1">uxb_scores_2007!R18</f>
        <v>2</v>
      </c>
      <c r="P18" s="176">
        <f ca="1">uxb_scores_2007!S18</f>
        <v>1.2</v>
      </c>
      <c r="Q18" s="177">
        <f ca="1">uxb_scores_2007!W18</f>
        <v>2.4</v>
      </c>
      <c r="R18" s="176">
        <f ca="1">uxb_scores_2007!X18</f>
        <v>1.6</v>
      </c>
      <c r="S18" s="177">
        <f ca="1">uxb_scores_2007!Z18</f>
        <v>1.4</v>
      </c>
      <c r="T18" s="176">
        <f ca="1">uxb_scores_2007!AA18</f>
        <v>2.4</v>
      </c>
      <c r="U18" s="177">
        <f ca="1">uxb_scores_2007!AB18</f>
        <v>1.2</v>
      </c>
      <c r="V18" s="176">
        <f ca="1">uxb_scores_2007!AC18</f>
        <v>1.2</v>
      </c>
    </row>
    <row r="19" spans="2:22">
      <c r="B19" t="str">
        <f ca="1">uxb_scores_2007!A19</f>
        <v>IC03</v>
      </c>
      <c r="C19" t="str">
        <f ca="1">uxb_scores_2007!B19</f>
        <v>IC00</v>
      </c>
      <c r="D19" s="175" t="str">
        <f ca="1">uxb_scores_2007!C19</f>
        <v>Judicial system</v>
      </c>
      <c r="E19" s="51" t="str">
        <f t="shared" si="0"/>
        <v>|||</v>
      </c>
      <c r="F19" s="178">
        <f ca="1">uxb_scores_2007!I19</f>
        <v>0.16666666666666666</v>
      </c>
      <c r="G19" s="179"/>
      <c r="H19" s="176">
        <f ca="1">uxb_scores_2007!J19</f>
        <v>1</v>
      </c>
      <c r="I19" s="177">
        <f ca="1">uxb_scores_2007!K19</f>
        <v>0.7</v>
      </c>
      <c r="J19" s="176">
        <f ca="1">uxb_scores_2007!L19</f>
        <v>1.7</v>
      </c>
      <c r="K19" s="177">
        <f ca="1">uxb_scores_2007!M19</f>
        <v>3</v>
      </c>
      <c r="L19" s="176">
        <f ca="1">uxb_scores_2007!N19</f>
        <v>1.3</v>
      </c>
      <c r="M19" s="177">
        <f ca="1">uxb_scores_2007!P19</f>
        <v>1</v>
      </c>
      <c r="N19" s="176">
        <f ca="1">uxb_scores_2007!Q19</f>
        <v>0.3</v>
      </c>
      <c r="O19" s="177">
        <f ca="1">uxb_scores_2007!R19</f>
        <v>1</v>
      </c>
      <c r="P19" s="176">
        <f ca="1">uxb_scores_2007!S19</f>
        <v>1</v>
      </c>
      <c r="Q19" s="177">
        <f ca="1">uxb_scores_2007!W19</f>
        <v>2</v>
      </c>
      <c r="R19" s="176">
        <f ca="1">uxb_scores_2007!X19</f>
        <v>0</v>
      </c>
      <c r="S19" s="177">
        <f ca="1">uxb_scores_2007!Z19</f>
        <v>1.3</v>
      </c>
      <c r="T19" s="176">
        <f ca="1">uxb_scores_2007!AA19</f>
        <v>0.3</v>
      </c>
      <c r="U19" s="177">
        <f ca="1">uxb_scores_2007!AB19</f>
        <v>2</v>
      </c>
      <c r="V19" s="176">
        <f ca="1">uxb_scores_2007!AC19</f>
        <v>0.3</v>
      </c>
    </row>
    <row r="20" spans="2:22">
      <c r="B20" t="str">
        <f ca="1">uxb_scores_2007!A20</f>
        <v>IC04</v>
      </c>
      <c r="C20" t="str">
        <f ca="1">uxb_scores_2007!B20</f>
        <v>IC00</v>
      </c>
      <c r="D20" s="175" t="str">
        <f ca="1">uxb_scores_2007!C20</f>
        <v>Accounting standards</v>
      </c>
      <c r="E20" s="51" t="str">
        <f t="shared" si="0"/>
        <v>|||</v>
      </c>
      <c r="F20" s="178">
        <f ca="1">uxb_scores_2007!I20</f>
        <v>0.16666666666666666</v>
      </c>
      <c r="G20" s="179"/>
      <c r="H20" s="176">
        <f ca="1">uxb_scores_2007!J20</f>
        <v>3</v>
      </c>
      <c r="I20" s="177">
        <f ca="1">uxb_scores_2007!K20</f>
        <v>2</v>
      </c>
      <c r="J20" s="176">
        <f ca="1">uxb_scores_2007!L20</f>
        <v>3</v>
      </c>
      <c r="K20" s="177">
        <f ca="1">uxb_scores_2007!M20</f>
        <v>3</v>
      </c>
      <c r="L20" s="176">
        <f ca="1">uxb_scores_2007!N20</f>
        <v>2</v>
      </c>
      <c r="M20" s="177">
        <f ca="1">uxb_scores_2007!P20</f>
        <v>2</v>
      </c>
      <c r="N20" s="176">
        <f ca="1">uxb_scores_2007!Q20</f>
        <v>4</v>
      </c>
      <c r="O20" s="177">
        <f ca="1">uxb_scores_2007!R20</f>
        <v>3</v>
      </c>
      <c r="P20" s="176">
        <f ca="1">uxb_scores_2007!S20</f>
        <v>3</v>
      </c>
      <c r="Q20" s="177">
        <f ca="1">uxb_scores_2007!W20</f>
        <v>3</v>
      </c>
      <c r="R20" s="176">
        <f ca="1">uxb_scores_2007!X20</f>
        <v>3</v>
      </c>
      <c r="S20" s="177">
        <f ca="1">uxb_scores_2007!Z20</f>
        <v>1</v>
      </c>
      <c r="T20" s="176">
        <f ca="1">uxb_scores_2007!AA20</f>
        <v>3</v>
      </c>
      <c r="U20" s="177">
        <f ca="1">uxb_scores_2007!AB20</f>
        <v>3</v>
      </c>
      <c r="V20" s="176">
        <f ca="1">uxb_scores_2007!AC20</f>
        <v>3</v>
      </c>
    </row>
    <row r="21" spans="2:22">
      <c r="B21" t="str">
        <f ca="1">uxb_scores_2007!A21</f>
        <v>IC05</v>
      </c>
      <c r="C21" t="str">
        <f ca="1">uxb_scores_2007!B21</f>
        <v>IC00</v>
      </c>
      <c r="D21" s="175" t="str">
        <f ca="1">uxb_scores_2007!C21</f>
        <v>Governance standards</v>
      </c>
      <c r="E21" s="51" t="str">
        <f t="shared" si="0"/>
        <v>|||</v>
      </c>
      <c r="F21" s="178">
        <f ca="1">uxb_scores_2007!I21</f>
        <v>0.16666666666666666</v>
      </c>
      <c r="G21" s="179"/>
      <c r="H21" s="176">
        <f ca="1">uxb_scores_2007!J21</f>
        <v>2</v>
      </c>
      <c r="I21" s="177">
        <f ca="1">uxb_scores_2007!K21</f>
        <v>3</v>
      </c>
      <c r="J21" s="176">
        <f ca="1">uxb_scores_2007!L21</f>
        <v>3</v>
      </c>
      <c r="K21" s="177">
        <f ca="1">uxb_scores_2007!M21</f>
        <v>3</v>
      </c>
      <c r="L21" s="176">
        <f ca="1">uxb_scores_2007!N21</f>
        <v>2</v>
      </c>
      <c r="M21" s="177">
        <f ca="1">uxb_scores_2007!P21</f>
        <v>1</v>
      </c>
      <c r="N21" s="176">
        <f ca="1">uxb_scores_2007!Q21</f>
        <v>2</v>
      </c>
      <c r="O21" s="177">
        <f ca="1">uxb_scores_2007!R21</f>
        <v>1</v>
      </c>
      <c r="P21" s="176">
        <f ca="1">uxb_scores_2007!S21</f>
        <v>1</v>
      </c>
      <c r="Q21" s="177">
        <f ca="1">uxb_scores_2007!W21</f>
        <v>2</v>
      </c>
      <c r="R21" s="176">
        <f ca="1">uxb_scores_2007!X21</f>
        <v>2</v>
      </c>
      <c r="S21" s="177">
        <f ca="1">uxb_scores_2007!Z21</f>
        <v>2</v>
      </c>
      <c r="T21" s="176">
        <f ca="1">uxb_scores_2007!AA21</f>
        <v>3</v>
      </c>
      <c r="U21" s="177">
        <f ca="1">uxb_scores_2007!AB21</f>
        <v>2</v>
      </c>
      <c r="V21" s="176">
        <f ca="1">uxb_scores_2007!AC21</f>
        <v>1</v>
      </c>
    </row>
    <row r="22" spans="2:22">
      <c r="B22" t="str">
        <f ca="1">uxb_scores_2007!A22</f>
        <v>IC06</v>
      </c>
      <c r="C22" t="str">
        <f ca="1">uxb_scores_2007!B22</f>
        <v>IC00</v>
      </c>
      <c r="D22" s="175" t="str">
        <f ca="1">uxb_scores_2007!C22</f>
        <v>MFI transparency</v>
      </c>
      <c r="E22" s="51" t="str">
        <f t="shared" si="0"/>
        <v>|||</v>
      </c>
      <c r="F22" s="178">
        <f ca="1">uxb_scores_2007!I22</f>
        <v>0.16666666666666666</v>
      </c>
      <c r="G22" s="179"/>
      <c r="H22" s="176">
        <f ca="1">uxb_scores_2007!J22</f>
        <v>1</v>
      </c>
      <c r="I22" s="177">
        <f ca="1">uxb_scores_2007!K22</f>
        <v>3</v>
      </c>
      <c r="J22" s="176">
        <f ca="1">uxb_scores_2007!L22</f>
        <v>2</v>
      </c>
      <c r="K22" s="177">
        <f ca="1">uxb_scores_2007!M22</f>
        <v>2</v>
      </c>
      <c r="L22" s="176">
        <f ca="1">uxb_scores_2007!N22</f>
        <v>2</v>
      </c>
      <c r="M22" s="177">
        <f ca="1">uxb_scores_2007!P22</f>
        <v>2</v>
      </c>
      <c r="N22" s="176">
        <f ca="1">uxb_scores_2007!Q22</f>
        <v>2</v>
      </c>
      <c r="O22" s="177">
        <f ca="1">uxb_scores_2007!R22</f>
        <v>2</v>
      </c>
      <c r="P22" s="176">
        <f ca="1">uxb_scores_2007!S22</f>
        <v>2</v>
      </c>
      <c r="Q22" s="177">
        <f ca="1">uxb_scores_2007!W22</f>
        <v>2</v>
      </c>
      <c r="R22" s="176">
        <f ca="1">uxb_scores_2007!X22</f>
        <v>1</v>
      </c>
      <c r="S22" s="177">
        <f ca="1">uxb_scores_2007!Z22</f>
        <v>2</v>
      </c>
      <c r="T22" s="176">
        <f ca="1">uxb_scores_2007!AA22</f>
        <v>3</v>
      </c>
      <c r="U22" s="177">
        <f ca="1">uxb_scores_2007!AB22</f>
        <v>2</v>
      </c>
      <c r="V22" s="176">
        <f ca="1">uxb_scores_2007!AC22</f>
        <v>3</v>
      </c>
    </row>
    <row r="23" spans="2:22" ht="7.5" customHeight="1">
      <c r="D23" s="60"/>
      <c r="E23" s="61"/>
      <c r="F23" s="62"/>
      <c r="G23" s="61"/>
      <c r="H23" s="65"/>
      <c r="I23" s="63"/>
      <c r="J23" s="65"/>
      <c r="K23" s="63"/>
      <c r="L23" s="65"/>
      <c r="M23" s="63"/>
      <c r="N23" s="65"/>
      <c r="O23" s="63"/>
      <c r="P23" s="65"/>
      <c r="Q23" s="63"/>
      <c r="R23" s="65"/>
      <c r="S23" s="63"/>
      <c r="T23" s="65"/>
      <c r="U23" s="63"/>
      <c r="V23" s="65"/>
    </row>
    <row r="24" spans="2:22" s="52" customFormat="1" ht="19.5" customHeight="1">
      <c r="B24" s="53" t="str">
        <f ca="1">uxb_scores_2007!A6</f>
        <v>ID00</v>
      </c>
      <c r="C24" s="53" t="str">
        <f ca="1">uxb_scores_2007!B6</f>
        <v>OVERALL00</v>
      </c>
      <c r="D24" s="57" t="str">
        <f ca="1">uxb_scores_2007!C6</f>
        <v>Institutional Development</v>
      </c>
      <c r="E24" s="50"/>
      <c r="F24" s="58"/>
      <c r="G24" s="48"/>
      <c r="H24" s="64">
        <f ca="1">uxb_scores_2007!J6</f>
        <v>24.999999999999996</v>
      </c>
      <c r="I24" s="59">
        <f ca="1">uxb_scores_2007!K6</f>
        <v>75</v>
      </c>
      <c r="J24" s="64">
        <f ca="1">uxb_scores_2007!L6</f>
        <v>33.333333333333329</v>
      </c>
      <c r="K24" s="59">
        <f ca="1">uxb_scores_2007!M6</f>
        <v>33.333333333333329</v>
      </c>
      <c r="L24" s="64">
        <f ca="1">uxb_scores_2007!N6</f>
        <v>41.666666666666657</v>
      </c>
      <c r="M24" s="59">
        <f ca="1">uxb_scores_2007!P6</f>
        <v>75</v>
      </c>
      <c r="N24" s="64">
        <f ca="1">uxb_scores_2007!Q6</f>
        <v>75</v>
      </c>
      <c r="O24" s="59">
        <f ca="1">uxb_scores_2007!R6</f>
        <v>66.666666666666657</v>
      </c>
      <c r="P24" s="64">
        <f ca="1">uxb_scores_2007!S6</f>
        <v>33.333333333333329</v>
      </c>
      <c r="Q24" s="59">
        <f ca="1">uxb_scores_2007!W6</f>
        <v>41.666666666666657</v>
      </c>
      <c r="R24" s="64">
        <f ca="1">uxb_scores_2007!X6</f>
        <v>58.333333333333329</v>
      </c>
      <c r="S24" s="59">
        <f ca="1">uxb_scores_2007!Z6</f>
        <v>49.999999999999993</v>
      </c>
      <c r="T24" s="64">
        <f ca="1">uxb_scores_2007!AA6</f>
        <v>75</v>
      </c>
      <c r="U24" s="59">
        <f ca="1">uxb_scores_2007!AB6</f>
        <v>24.999999999999996</v>
      </c>
      <c r="V24" s="64">
        <f ca="1">uxb_scores_2007!AC6</f>
        <v>16.666666666666664</v>
      </c>
    </row>
    <row r="25" spans="2:22">
      <c r="B25" t="str">
        <f ca="1">uxb_scores_2007!A24</f>
        <v>ID01</v>
      </c>
      <c r="C25" t="str">
        <f ca="1">uxb_scores_2007!B24</f>
        <v>ID00</v>
      </c>
      <c r="D25" s="175" t="str">
        <f ca="1">uxb_scores_2007!C24</f>
        <v>Range of MFI Services</v>
      </c>
      <c r="E25" s="51" t="str">
        <f ca="1">REPT("|",F25*20)</f>
        <v>||||||</v>
      </c>
      <c r="F25" s="178">
        <f ca="1">uxb_scores_2007!I24</f>
        <v>0.33333333333333331</v>
      </c>
      <c r="G25" s="179"/>
      <c r="H25" s="176">
        <f ca="1">uxb_scores_2007!J24</f>
        <v>1</v>
      </c>
      <c r="I25" s="177">
        <f ca="1">uxb_scores_2007!K24</f>
        <v>4</v>
      </c>
      <c r="J25" s="176">
        <f ca="1">uxb_scores_2007!L24</f>
        <v>2</v>
      </c>
      <c r="K25" s="177">
        <f ca="1">uxb_scores_2007!M24</f>
        <v>2</v>
      </c>
      <c r="L25" s="176">
        <f ca="1">uxb_scores_2007!N24</f>
        <v>2</v>
      </c>
      <c r="M25" s="177">
        <f ca="1">uxb_scores_2007!P24</f>
        <v>3</v>
      </c>
      <c r="N25" s="176">
        <f ca="1">uxb_scores_2007!Q24</f>
        <v>2</v>
      </c>
      <c r="O25" s="177">
        <f ca="1">uxb_scores_2007!R24</f>
        <v>2</v>
      </c>
      <c r="P25" s="176">
        <f ca="1">uxb_scores_2007!S24</f>
        <v>2</v>
      </c>
      <c r="Q25" s="177">
        <f ca="1">uxb_scores_2007!W24</f>
        <v>2</v>
      </c>
      <c r="R25" s="176">
        <f ca="1">uxb_scores_2007!X24</f>
        <v>2</v>
      </c>
      <c r="S25" s="177">
        <f ca="1">uxb_scores_2007!Z24</f>
        <v>2</v>
      </c>
      <c r="T25" s="176">
        <f ca="1">uxb_scores_2007!AA24</f>
        <v>3</v>
      </c>
      <c r="U25" s="177">
        <f ca="1">uxb_scores_2007!AB24</f>
        <v>1</v>
      </c>
      <c r="V25" s="176">
        <f ca="1">uxb_scores_2007!AC24</f>
        <v>2</v>
      </c>
    </row>
    <row r="26" spans="2:22">
      <c r="B26" t="str">
        <f ca="1">uxb_scores_2007!A25</f>
        <v>ID02</v>
      </c>
      <c r="C26" t="str">
        <f ca="1">uxb_scores_2007!B25</f>
        <v>ID00</v>
      </c>
      <c r="D26" s="175" t="str">
        <f ca="1">uxb_scores_2007!C25</f>
        <v>Credit bureaus</v>
      </c>
      <c r="E26" s="51" t="str">
        <f ca="1">REPT("|",F26*20)</f>
        <v>||||||</v>
      </c>
      <c r="F26" s="178">
        <f ca="1">uxb_scores_2007!I25</f>
        <v>0.33333333333333331</v>
      </c>
      <c r="G26" s="179"/>
      <c r="H26" s="176">
        <f ca="1">uxb_scores_2007!J25</f>
        <v>2</v>
      </c>
      <c r="I26" s="177">
        <f ca="1">uxb_scores_2007!K25</f>
        <v>3</v>
      </c>
      <c r="J26" s="176">
        <f ca="1">uxb_scores_2007!L25</f>
        <v>2</v>
      </c>
      <c r="K26" s="177">
        <f ca="1">uxb_scores_2007!M25</f>
        <v>2</v>
      </c>
      <c r="L26" s="176">
        <f ca="1">uxb_scores_2007!N25</f>
        <v>2</v>
      </c>
      <c r="M26" s="177">
        <f ca="1">uxb_scores_2007!P25</f>
        <v>3</v>
      </c>
      <c r="N26" s="176">
        <f ca="1">uxb_scores_2007!Q25</f>
        <v>4</v>
      </c>
      <c r="O26" s="177">
        <f ca="1">uxb_scores_2007!R25</f>
        <v>4</v>
      </c>
      <c r="P26" s="176">
        <f ca="1">uxb_scores_2007!S25</f>
        <v>2</v>
      </c>
      <c r="Q26" s="177">
        <f ca="1">uxb_scores_2007!W25</f>
        <v>2</v>
      </c>
      <c r="R26" s="176">
        <f ca="1">uxb_scores_2007!X25</f>
        <v>2</v>
      </c>
      <c r="S26" s="177">
        <f ca="1">uxb_scores_2007!Z25</f>
        <v>2</v>
      </c>
      <c r="T26" s="176">
        <f ca="1">uxb_scores_2007!AA25</f>
        <v>3</v>
      </c>
      <c r="U26" s="177">
        <f ca="1">uxb_scores_2007!AB25</f>
        <v>2</v>
      </c>
      <c r="V26" s="176">
        <f ca="1">uxb_scores_2007!AC25</f>
        <v>0</v>
      </c>
    </row>
    <row r="27" spans="2:22">
      <c r="B27" t="str">
        <f ca="1">uxb_scores_2007!A26</f>
        <v>ID03</v>
      </c>
      <c r="C27" t="str">
        <f ca="1">uxb_scores_2007!B26</f>
        <v>ID00</v>
      </c>
      <c r="D27" s="175" t="str">
        <f ca="1">uxb_scores_2007!C26</f>
        <v>Level of competition</v>
      </c>
      <c r="E27" s="51" t="str">
        <f ca="1">REPT("|",F27*20)</f>
        <v>||||||</v>
      </c>
      <c r="F27" s="178">
        <f ca="1">uxb_scores_2007!I26</f>
        <v>0.33333333333333331</v>
      </c>
      <c r="G27" s="179"/>
      <c r="H27" s="176">
        <f ca="1">uxb_scores_2007!J26</f>
        <v>0</v>
      </c>
      <c r="I27" s="177">
        <f ca="1">uxb_scores_2007!K26</f>
        <v>2</v>
      </c>
      <c r="J27" s="176">
        <f ca="1">uxb_scores_2007!L26</f>
        <v>0</v>
      </c>
      <c r="K27" s="177">
        <f ca="1">uxb_scores_2007!M26</f>
        <v>0</v>
      </c>
      <c r="L27" s="176">
        <f ca="1">uxb_scores_2007!N26</f>
        <v>1</v>
      </c>
      <c r="M27" s="177">
        <f ca="1">uxb_scores_2007!P26</f>
        <v>3</v>
      </c>
      <c r="N27" s="176">
        <f ca="1">uxb_scores_2007!Q26</f>
        <v>3</v>
      </c>
      <c r="O27" s="177">
        <f ca="1">uxb_scores_2007!R26</f>
        <v>2</v>
      </c>
      <c r="P27" s="176">
        <f ca="1">uxb_scores_2007!S26</f>
        <v>0</v>
      </c>
      <c r="Q27" s="177">
        <f ca="1">uxb_scores_2007!W26</f>
        <v>1</v>
      </c>
      <c r="R27" s="176">
        <f ca="1">uxb_scores_2007!X26</f>
        <v>3</v>
      </c>
      <c r="S27" s="177">
        <f ca="1">uxb_scores_2007!Z26</f>
        <v>2</v>
      </c>
      <c r="T27" s="176">
        <f ca="1">uxb_scores_2007!AA26</f>
        <v>3</v>
      </c>
      <c r="U27" s="177">
        <f ca="1">uxb_scores_2007!AB26</f>
        <v>0</v>
      </c>
      <c r="V27" s="176">
        <f ca="1">uxb_scores_2007!AC26</f>
        <v>0</v>
      </c>
    </row>
  </sheetData>
  <mergeCells count="1">
    <mergeCell ref="E3:F3"/>
  </mergeCells>
  <phoneticPr fontId="2" type="noConversion"/>
  <printOptions horizontalCentered="1"/>
  <pageMargins left="0.55118110236220474" right="0.55118110236220474" top="0.59055118110236227" bottom="0.78740157480314965" header="0.51181102362204722" footer="0.51181102362204722"/>
  <pageSetup scale="5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18">
    <pageSetUpPr fitToPage="1"/>
  </sheetPr>
  <dimension ref="A1:CU23"/>
  <sheetViews>
    <sheetView showGridLines="0" showRowColHeaders="0" zoomScale="80" zoomScaleNormal="80" workbookViewId="0">
      <selection activeCell="AG4" sqref="AG4"/>
    </sheetView>
  </sheetViews>
  <sheetFormatPr defaultRowHeight="12.75"/>
  <cols>
    <col min="1" max="1" width="2.140625" customWidth="1"/>
    <col min="2" max="2" width="2.42578125" customWidth="1"/>
    <col min="3" max="3" width="5.7109375" hidden="1" customWidth="1"/>
    <col min="4" max="4" width="3.7109375" customWidth="1"/>
    <col min="5" max="5" width="3.7109375" bestFit="1" customWidth="1"/>
    <col min="6" max="6" width="16.85546875" customWidth="1"/>
    <col min="8" max="8" width="7.42578125" customWidth="1"/>
    <col min="9" max="9" width="3" hidden="1" customWidth="1"/>
    <col min="10" max="10" width="3.85546875" customWidth="1"/>
    <col min="11" max="11" width="3" hidden="1" customWidth="1"/>
    <col min="12" max="12" width="3.85546875" customWidth="1"/>
    <col min="13" max="13" width="3.7109375" bestFit="1" customWidth="1"/>
    <col min="14" max="14" width="16" customWidth="1"/>
    <col min="16" max="16" width="7.140625" customWidth="1"/>
    <col min="17" max="17" width="2.7109375" hidden="1" customWidth="1"/>
    <col min="18" max="18" width="3.85546875" customWidth="1"/>
    <col min="19" max="19" width="3.28515625" hidden="1" customWidth="1"/>
    <col min="20" max="21" width="2.7109375" hidden="1" customWidth="1"/>
    <col min="22" max="22" width="3.85546875" customWidth="1"/>
    <col min="23" max="23" width="3.7109375" bestFit="1" customWidth="1"/>
    <col min="24" max="24" width="16.140625" customWidth="1"/>
    <col min="26" max="26" width="6.5703125" customWidth="1"/>
    <col min="27" max="27" width="0.140625" style="186" customWidth="1"/>
    <col min="28" max="28" width="3.85546875" style="186" customWidth="1"/>
    <col min="29" max="29" width="3.140625" style="186" hidden="1" customWidth="1"/>
    <col min="30" max="30" width="3.28515625" customWidth="1"/>
    <col min="31" max="31" width="4.28515625" customWidth="1"/>
    <col min="32" max="32" width="16" customWidth="1"/>
    <col min="33" max="33" width="8.28515625" customWidth="1"/>
    <col min="34" max="34" width="7.28515625" customWidth="1"/>
    <col min="35" max="35" width="4.42578125" style="186" hidden="1" customWidth="1"/>
  </cols>
  <sheetData>
    <row r="1" spans="1:99" s="9" customFormat="1" ht="21" customHeight="1">
      <c r="A1" s="21" t="s">
        <v>541</v>
      </c>
      <c r="B1" s="21"/>
      <c r="C1" s="21"/>
      <c r="D1" s="7"/>
      <c r="E1" s="7"/>
      <c r="F1" s="7"/>
      <c r="G1" s="7"/>
      <c r="H1" s="7"/>
      <c r="I1" s="7"/>
      <c r="J1" s="7"/>
      <c r="K1" s="7"/>
      <c r="L1" s="7"/>
      <c r="M1" s="7"/>
      <c r="N1" s="7"/>
      <c r="O1" s="7"/>
      <c r="P1" s="7"/>
      <c r="Q1" s="7"/>
      <c r="R1" s="7"/>
      <c r="S1" s="7"/>
      <c r="T1" s="7"/>
      <c r="U1" s="7"/>
      <c r="V1" s="7"/>
      <c r="W1" s="7"/>
      <c r="X1" s="7"/>
      <c r="Y1" s="7"/>
      <c r="Z1" s="7"/>
      <c r="AA1" s="185"/>
      <c r="AB1" s="185"/>
      <c r="AC1" s="185"/>
      <c r="AD1" s="7"/>
      <c r="AE1" s="7"/>
      <c r="AF1" s="7"/>
      <c r="AG1" s="7"/>
      <c r="AH1" s="7"/>
      <c r="AI1" s="185"/>
      <c r="AJ1" s="8"/>
      <c r="AK1" s="7"/>
      <c r="AL1" s="7"/>
      <c r="AN1" s="7"/>
      <c r="AO1" s="7"/>
      <c r="AQ1" s="7"/>
      <c r="AR1" s="7"/>
      <c r="BH1" s="10"/>
      <c r="BI1" s="10"/>
      <c r="BJ1" s="10"/>
      <c r="BK1" s="10"/>
      <c r="BN1" s="11"/>
      <c r="BO1" s="11"/>
      <c r="BP1" s="11"/>
      <c r="BQ1" s="11"/>
      <c r="BR1" s="11"/>
      <c r="BS1" s="11"/>
      <c r="BT1" s="11"/>
      <c r="BU1" s="11"/>
      <c r="BV1" s="11"/>
      <c r="BW1" s="11"/>
      <c r="BY1" s="11"/>
      <c r="BZ1" s="11"/>
      <c r="CA1" s="11"/>
      <c r="CB1" s="11"/>
      <c r="CC1" s="11"/>
      <c r="CD1" s="11"/>
      <c r="CE1" s="11"/>
      <c r="CF1" s="11"/>
      <c r="CG1" s="11"/>
      <c r="CH1" s="11"/>
      <c r="CI1" s="11"/>
      <c r="CK1" s="11"/>
      <c r="CL1" s="11"/>
      <c r="CM1" s="11"/>
      <c r="CN1" s="11"/>
      <c r="CO1" s="11"/>
      <c r="CP1" s="11"/>
      <c r="CQ1" s="11"/>
      <c r="CR1" s="11"/>
      <c r="CS1" s="11"/>
      <c r="CT1" s="11"/>
      <c r="CU1" s="11"/>
    </row>
    <row r="2" spans="1:99" ht="20.25" customHeight="1">
      <c r="A2" s="106" t="str">
        <f ca="1">uxb_globals!B5</f>
        <v>Peru</v>
      </c>
      <c r="B2" s="106"/>
      <c r="C2" s="106"/>
      <c r="D2" s="106"/>
    </row>
    <row r="3" spans="1:99" ht="24.75" customHeight="1">
      <c r="A3" s="106"/>
      <c r="B3" s="106"/>
      <c r="C3" s="106"/>
      <c r="D3" s="111" t="s">
        <v>484</v>
      </c>
      <c r="E3" s="111"/>
      <c r="F3" s="12"/>
      <c r="G3" s="191">
        <v>2008</v>
      </c>
      <c r="H3" s="191" t="s">
        <v>160</v>
      </c>
      <c r="L3" s="110" t="str">
        <f ca="1">uxb_scores_2007!C4</f>
        <v xml:space="preserve">Regulatory Framework </v>
      </c>
      <c r="M3" s="110"/>
      <c r="N3" s="17"/>
      <c r="O3" s="18"/>
      <c r="P3" s="18"/>
      <c r="V3" s="110" t="str">
        <f ca="1">uxb_scores_2007!C5</f>
        <v>Investment Climate</v>
      </c>
      <c r="W3" s="110"/>
      <c r="X3" s="17"/>
      <c r="Y3" s="18"/>
      <c r="Z3" s="18"/>
      <c r="AD3" s="110" t="str">
        <f ca="1">uxb_scores_2007!C6</f>
        <v>Institutional Development</v>
      </c>
      <c r="AE3" s="110"/>
      <c r="AF3" s="17"/>
      <c r="AG3" s="18"/>
      <c r="AH3" s="18"/>
    </row>
    <row r="4" spans="1:99" ht="18" customHeight="1">
      <c r="A4" s="106">
        <v>1</v>
      </c>
      <c r="B4" s="106"/>
      <c r="C4" s="186">
        <f ca="1">uxb_ranking!DH8</f>
        <v>1</v>
      </c>
      <c r="D4" s="13" t="str">
        <f ca="1">uxb_ranking!DA8</f>
        <v>+1</v>
      </c>
      <c r="E4" s="190">
        <f ca="1">IF(A4=0,"",uxb_ranking!BD8)</f>
        <v>1</v>
      </c>
      <c r="F4" s="14" t="str">
        <f ca="1">uxb_ranking!AI8</f>
        <v>Peru</v>
      </c>
      <c r="G4" s="15">
        <f ca="1">uxb_ranking!AP8</f>
        <v>76.599999999999994</v>
      </c>
      <c r="H4" s="190" t="str">
        <f ca="1">uxb_ranking!CM8</f>
        <v>+2.5</v>
      </c>
      <c r="I4">
        <f ca="1">uxb_ranking!CT8</f>
        <v>1</v>
      </c>
      <c r="K4">
        <f ca="1">uxb_ranking!DI8</f>
        <v>0</v>
      </c>
      <c r="L4" s="13" t="str">
        <f ca="1">uxb_ranking!DB8</f>
        <v>-</v>
      </c>
      <c r="M4" s="190" t="str">
        <f ca="1">IF($A4=0,"",uxb_ranking!BE8)</f>
        <v>=1</v>
      </c>
      <c r="N4" s="14" t="str">
        <f ca="1">uxb_ranking!AJ8</f>
        <v>Bolivia</v>
      </c>
      <c r="O4" s="20">
        <f ca="1">uxb_ranking!AQ8</f>
        <v>87.5</v>
      </c>
      <c r="P4" s="190" t="str">
        <f ca="1">uxb_ranking!CN8</f>
        <v>-12.5</v>
      </c>
      <c r="Q4">
        <f ca="1">uxb_ranking!CU8</f>
        <v>-1</v>
      </c>
      <c r="U4">
        <f ca="1">uxb_ranking!DJ8</f>
        <v>0</v>
      </c>
      <c r="V4" s="13" t="str">
        <f ca="1">uxb_ranking!DC8</f>
        <v>-</v>
      </c>
      <c r="W4" s="190">
        <f ca="1">IF($A4=0,"",uxb_ranking!BF8)</f>
        <v>1</v>
      </c>
      <c r="X4" s="14" t="str">
        <f ca="1">uxb_ranking!AK8</f>
        <v>Chile</v>
      </c>
      <c r="Y4" s="20">
        <f ca="1">uxb_ranking!AR8</f>
        <v>74.2</v>
      </c>
      <c r="Z4" s="190" t="str">
        <f ca="1">uxb_ranking!CO8</f>
        <v>-0.8</v>
      </c>
      <c r="AA4" s="186">
        <f ca="1">uxb_ranking!CV8</f>
        <v>-1</v>
      </c>
      <c r="AC4" s="186">
        <f ca="1">uxb_ranking!DK8</f>
        <v>0</v>
      </c>
      <c r="AD4" s="13" t="str">
        <f ca="1">uxb_ranking!DD8</f>
        <v>-</v>
      </c>
      <c r="AE4" s="190">
        <f ca="1">IF($A4=0,"",uxb_ranking!BG8)</f>
        <v>1</v>
      </c>
      <c r="AF4" s="14" t="str">
        <f ca="1">uxb_ranking!AL8</f>
        <v>Ecuador</v>
      </c>
      <c r="AG4" s="20">
        <f ca="1">uxb_ranking!AS8</f>
        <v>83.3</v>
      </c>
      <c r="AH4" s="190" t="str">
        <f ca="1">uxb_ranking!CP8</f>
        <v>+8.3</v>
      </c>
      <c r="AI4" s="186">
        <f ca="1">uxb_ranking!CW8</f>
        <v>1</v>
      </c>
    </row>
    <row r="5" spans="1:99" ht="18" customHeight="1">
      <c r="A5" s="106">
        <v>1</v>
      </c>
      <c r="B5" s="106"/>
      <c r="C5" s="186">
        <f ca="1">uxb_ranking!DH9</f>
        <v>-1</v>
      </c>
      <c r="D5" s="13" t="str">
        <f ca="1">uxb_ranking!DA9</f>
        <v>-1</v>
      </c>
      <c r="E5" s="190">
        <f ca="1">IF(A5=0,"",uxb_ranking!BD9)</f>
        <v>2</v>
      </c>
      <c r="F5" s="14" t="str">
        <f ca="1">uxb_ranking!AI9</f>
        <v>Bolivia</v>
      </c>
      <c r="G5" s="15">
        <f ca="1">uxb_ranking!AP9</f>
        <v>74.400000000000006</v>
      </c>
      <c r="H5" s="190" t="str">
        <f ca="1">uxb_ranking!CM9</f>
        <v>-5.0</v>
      </c>
      <c r="I5">
        <f ca="1">uxb_ranking!CT9</f>
        <v>-1</v>
      </c>
      <c r="K5">
        <f ca="1">uxb_ranking!DI9</f>
        <v>1</v>
      </c>
      <c r="L5" s="13" t="str">
        <f ca="1">uxb_ranking!DB9</f>
        <v>+1</v>
      </c>
      <c r="M5" s="190" t="str">
        <f ca="1">IF($A5=0,"",uxb_ranking!BE9)</f>
        <v>=1</v>
      </c>
      <c r="N5" s="14" t="str">
        <f ca="1">uxb_ranking!AJ9</f>
        <v>Peru</v>
      </c>
      <c r="O5" s="20">
        <f ca="1">uxb_ranking!AQ9</f>
        <v>87.5</v>
      </c>
      <c r="P5" s="190" t="str">
        <f ca="1">uxb_ranking!CN9</f>
        <v>+6.2</v>
      </c>
      <c r="Q5">
        <f ca="1">uxb_ranking!CU9</f>
        <v>1</v>
      </c>
      <c r="U5">
        <f ca="1">uxb_ranking!DJ9</f>
        <v>0</v>
      </c>
      <c r="V5" s="13" t="str">
        <f ca="1">uxb_ranking!DC9</f>
        <v/>
      </c>
      <c r="W5" s="190">
        <f ca="1">IF($A5=0,"",uxb_ranking!BF9)</f>
        <v>2</v>
      </c>
      <c r="X5" s="14" t="str">
        <f ca="1">uxb_ranking!AK9</f>
        <v>Costa Rica</v>
      </c>
      <c r="Y5" s="20">
        <f ca="1">uxb_ranking!AR9</f>
        <v>59.7</v>
      </c>
      <c r="Z5" s="190" t="str">
        <f ca="1">uxb_ranking!CO9</f>
        <v>new</v>
      </c>
      <c r="AA5" s="186">
        <f ca="1">uxb_ranking!CV9</f>
        <v>0</v>
      </c>
      <c r="AC5" s="186">
        <f ca="1">uxb_ranking!DK9</f>
        <v>-1</v>
      </c>
      <c r="AD5" s="13" t="str">
        <f ca="1">uxb_ranking!DD9</f>
        <v>-1</v>
      </c>
      <c r="AE5" s="190" t="str">
        <f ca="1">IF($A5=0,"",uxb_ranking!BG9)</f>
        <v>=2</v>
      </c>
      <c r="AF5" s="14" t="str">
        <f ca="1">uxb_ranking!AL9</f>
        <v>Bolivia</v>
      </c>
      <c r="AG5" s="20">
        <f ca="1">uxb_ranking!AS9</f>
        <v>75</v>
      </c>
      <c r="AH5" s="190" t="str">
        <f ca="1">uxb_ranking!CP9</f>
        <v>-</v>
      </c>
      <c r="AI5" s="186">
        <f ca="1">uxb_ranking!CW9</f>
        <v>0</v>
      </c>
    </row>
    <row r="6" spans="1:99" ht="18" customHeight="1">
      <c r="A6" s="106">
        <v>1</v>
      </c>
      <c r="B6" s="106"/>
      <c r="C6" s="186">
        <f ca="1">uxb_ranking!DH10</f>
        <v>0</v>
      </c>
      <c r="D6" s="13" t="str">
        <f ca="1">uxb_ranking!DA10</f>
        <v>-</v>
      </c>
      <c r="E6" s="190">
        <f ca="1">IF(A6=0,"",uxb_ranking!BD10)</f>
        <v>3</v>
      </c>
      <c r="F6" s="14" t="str">
        <f ca="1">uxb_ranking!AI10</f>
        <v>Ecuador</v>
      </c>
      <c r="G6" s="15">
        <f ca="1">uxb_ranking!AP10</f>
        <v>69.7</v>
      </c>
      <c r="H6" s="190" t="str">
        <f ca="1">uxb_ranking!CM10</f>
        <v>+1.4</v>
      </c>
      <c r="I6">
        <f ca="1">uxb_ranking!CT10</f>
        <v>1</v>
      </c>
      <c r="K6">
        <f ca="1">uxb_ranking!DI10</f>
        <v>0</v>
      </c>
      <c r="L6" s="13" t="str">
        <f ca="1">uxb_ranking!DB10</f>
        <v>-</v>
      </c>
      <c r="M6" s="190">
        <f ca="1">IF($A6=0,"",uxb_ranking!BE10)</f>
        <v>3</v>
      </c>
      <c r="N6" s="14" t="str">
        <f ca="1">uxb_ranking!AJ10</f>
        <v>Ecuador</v>
      </c>
      <c r="O6" s="20">
        <f ca="1">uxb_ranking!AQ10</f>
        <v>75</v>
      </c>
      <c r="P6" s="190" t="str">
        <f ca="1">uxb_ranking!CN10</f>
        <v>-</v>
      </c>
      <c r="Q6">
        <f ca="1">uxb_ranking!CU10</f>
        <v>0</v>
      </c>
      <c r="U6">
        <f ca="1">uxb_ranking!DJ10</f>
        <v>0</v>
      </c>
      <c r="V6" s="13" t="str">
        <f ca="1">uxb_ranking!DC10</f>
        <v>-</v>
      </c>
      <c r="W6" s="190" t="str">
        <f ca="1">IF($A6=0,"",uxb_ranking!BF10)</f>
        <v>=3</v>
      </c>
      <c r="X6" s="14" t="str">
        <f ca="1">uxb_ranking!AK10</f>
        <v>Mexico</v>
      </c>
      <c r="Y6" s="20">
        <f ca="1">uxb_ranking!AR10</f>
        <v>58.3</v>
      </c>
      <c r="Z6" s="190" t="str">
        <f ca="1">uxb_ranking!CO10</f>
        <v>-</v>
      </c>
      <c r="AA6" s="186">
        <f ca="1">uxb_ranking!CV10</f>
        <v>0</v>
      </c>
      <c r="AC6" s="186">
        <f ca="1">uxb_ranking!DK10</f>
        <v>-1</v>
      </c>
      <c r="AD6" s="13" t="str">
        <f ca="1">uxb_ranking!DD10</f>
        <v>-1</v>
      </c>
      <c r="AE6" s="190" t="str">
        <f ca="1">IF($A6=0,"",uxb_ranking!BG10)</f>
        <v>=2</v>
      </c>
      <c r="AF6" s="14" t="str">
        <f ca="1">uxb_ranking!AL10</f>
        <v>Peru</v>
      </c>
      <c r="AG6" s="20">
        <f ca="1">uxb_ranking!AS10</f>
        <v>75</v>
      </c>
      <c r="AH6" s="190" t="str">
        <f ca="1">uxb_ranking!CP10</f>
        <v>-</v>
      </c>
      <c r="AI6" s="186">
        <f ca="1">uxb_ranking!CW10</f>
        <v>0</v>
      </c>
    </row>
    <row r="7" spans="1:99" ht="18" customHeight="1">
      <c r="A7" s="106">
        <v>1</v>
      </c>
      <c r="B7" s="106"/>
      <c r="C7" s="186">
        <f ca="1">uxb_ranking!DH11</f>
        <v>0</v>
      </c>
      <c r="D7" s="13" t="str">
        <f ca="1">uxb_ranking!DA11</f>
        <v>-</v>
      </c>
      <c r="E7" s="190">
        <f ca="1">IF(A7=0,"",uxb_ranking!BD11)</f>
        <v>4</v>
      </c>
      <c r="F7" s="14" t="str">
        <f ca="1">uxb_ranking!AI11</f>
        <v>El Salvador</v>
      </c>
      <c r="G7" s="15">
        <f ca="1">uxb_ranking!AP11</f>
        <v>59</v>
      </c>
      <c r="H7" s="190" t="str">
        <f ca="1">uxb_ranking!CM11</f>
        <v>-2.5</v>
      </c>
      <c r="I7">
        <f ca="1">uxb_ranking!CT11</f>
        <v>-1</v>
      </c>
      <c r="K7">
        <f ca="1">uxb_ranking!DI11</f>
        <v>1</v>
      </c>
      <c r="L7" s="13" t="str">
        <f ca="1">uxb_ranking!DB11</f>
        <v>+4</v>
      </c>
      <c r="M7" s="190" t="str">
        <f ca="1">IF($A7=0,"",uxb_ranking!BE11)</f>
        <v>=4</v>
      </c>
      <c r="N7" s="14" t="str">
        <f ca="1">uxb_ranking!AJ11</f>
        <v>Colombia</v>
      </c>
      <c r="O7" s="20">
        <f ca="1">uxb_ranking!AQ11</f>
        <v>62.5</v>
      </c>
      <c r="P7" s="190" t="str">
        <f ca="1">uxb_ranking!CN11</f>
        <v>+12.5</v>
      </c>
      <c r="Q7">
        <f ca="1">uxb_ranking!CU11</f>
        <v>1</v>
      </c>
      <c r="U7">
        <f ca="1">uxb_ranking!DJ11</f>
        <v>0</v>
      </c>
      <c r="V7" s="13" t="str">
        <f ca="1">uxb_ranking!DC11</f>
        <v/>
      </c>
      <c r="W7" s="190" t="str">
        <f ca="1">IF($A7=0,"",uxb_ranking!BF11)</f>
        <v>=3</v>
      </c>
      <c r="X7" s="14" t="str">
        <f ca="1">uxb_ranking!AK11</f>
        <v>Panama</v>
      </c>
      <c r="Y7" s="20">
        <f ca="1">uxb_ranking!AR11</f>
        <v>58.3</v>
      </c>
      <c r="Z7" s="190" t="str">
        <f ca="1">uxb_ranking!CO11</f>
        <v>new</v>
      </c>
      <c r="AA7" s="186">
        <f ca="1">uxb_ranking!CV11</f>
        <v>0</v>
      </c>
      <c r="AC7" s="186">
        <f ca="1">uxb_ranking!DK11</f>
        <v>1</v>
      </c>
      <c r="AD7" s="13" t="str">
        <f ca="1">uxb_ranking!DD11</f>
        <v>+1</v>
      </c>
      <c r="AE7" s="190" t="str">
        <f ca="1">IF($A7=0,"",uxb_ranking!BG11)</f>
        <v>=4</v>
      </c>
      <c r="AF7" s="14" t="str">
        <f ca="1">uxb_ranking!AL11</f>
        <v>El Salvador</v>
      </c>
      <c r="AG7" s="20">
        <f ca="1">uxb_ranking!AS11</f>
        <v>66.7</v>
      </c>
      <c r="AH7" s="190" t="str">
        <f ca="1">uxb_ranking!CP11</f>
        <v>-</v>
      </c>
      <c r="AI7" s="186">
        <f ca="1">uxb_ranking!CW11</f>
        <v>0</v>
      </c>
    </row>
    <row r="8" spans="1:99" ht="18" customHeight="1">
      <c r="A8" s="106">
        <v>1</v>
      </c>
      <c r="B8" s="106"/>
      <c r="C8" s="186">
        <f ca="1">uxb_ranking!DH12</f>
        <v>1</v>
      </c>
      <c r="D8" s="13" t="str">
        <f ca="1">uxb_ranking!DA12</f>
        <v>+5</v>
      </c>
      <c r="E8" s="190">
        <f ca="1">IF(A8=0,"",uxb_ranking!BD12)</f>
        <v>5</v>
      </c>
      <c r="F8" s="14" t="str">
        <f ca="1">uxb_ranking!AI12</f>
        <v>Colombia</v>
      </c>
      <c r="G8" s="15">
        <f ca="1">uxb_ranking!AP12</f>
        <v>58.6</v>
      </c>
      <c r="H8" s="190" t="str">
        <f ca="1">uxb_ranking!CM12</f>
        <v>+12.5</v>
      </c>
      <c r="I8">
        <f ca="1">uxb_ranking!CT12</f>
        <v>1</v>
      </c>
      <c r="K8">
        <f ca="1">uxb_ranking!DI12</f>
        <v>0</v>
      </c>
      <c r="L8" s="13" t="str">
        <f ca="1">uxb_ranking!DB12</f>
        <v>-</v>
      </c>
      <c r="M8" s="190" t="str">
        <f ca="1">IF($A8=0,"",uxb_ranking!BE12)</f>
        <v>=4</v>
      </c>
      <c r="N8" s="14" t="str">
        <f ca="1">uxb_ranking!AJ12</f>
        <v>Paraguay</v>
      </c>
      <c r="O8" s="20">
        <f ca="1">uxb_ranking!AQ12</f>
        <v>62.5</v>
      </c>
      <c r="P8" s="190" t="str">
        <f ca="1">uxb_ranking!CN12</f>
        <v>-</v>
      </c>
      <c r="Q8">
        <f ca="1">uxb_ranking!CU12</f>
        <v>0</v>
      </c>
      <c r="U8">
        <f ca="1">uxb_ranking!DJ12</f>
        <v>-1</v>
      </c>
      <c r="V8" s="13" t="str">
        <f ca="1">uxb_ranking!DC12</f>
        <v>-1</v>
      </c>
      <c r="W8" s="190">
        <f ca="1">IF($A8=0,"",uxb_ranking!BF12)</f>
        <v>5</v>
      </c>
      <c r="X8" s="14" t="str">
        <f ca="1">uxb_ranking!AK12</f>
        <v>Peru</v>
      </c>
      <c r="Y8" s="20">
        <f ca="1">uxb_ranking!AR12</f>
        <v>58</v>
      </c>
      <c r="Z8" s="190" t="str">
        <f ca="1">uxb_ranking!CO12</f>
        <v>+0.1</v>
      </c>
      <c r="AA8" s="186">
        <f ca="1">uxb_ranking!CV12</f>
        <v>1</v>
      </c>
      <c r="AC8" s="186">
        <f ca="1">uxb_ranking!DK12</f>
        <v>1</v>
      </c>
      <c r="AD8" s="13" t="str">
        <f ca="1">uxb_ranking!DD12</f>
        <v>+2</v>
      </c>
      <c r="AE8" s="190" t="str">
        <f ca="1">IF($A8=0,"",uxb_ranking!BG12)</f>
        <v>=4</v>
      </c>
      <c r="AF8" s="14" t="str">
        <f ca="1">uxb_ranking!AL12</f>
        <v>Nicaragua</v>
      </c>
      <c r="AG8" s="20">
        <f ca="1">uxb_ranking!AS12</f>
        <v>66.7</v>
      </c>
      <c r="AH8" s="190" t="str">
        <f ca="1">uxb_ranking!CP12</f>
        <v>+8.4</v>
      </c>
      <c r="AI8" s="186">
        <f ca="1">uxb_ranking!CW12</f>
        <v>1</v>
      </c>
    </row>
    <row r="9" spans="1:99" ht="18" customHeight="1">
      <c r="A9" s="106">
        <v>1</v>
      </c>
      <c r="B9" s="106"/>
      <c r="C9" s="186">
        <f ca="1">uxb_ranking!DH13</f>
        <v>0</v>
      </c>
      <c r="D9" s="13" t="str">
        <f ca="1">uxb_ranking!DA13</f>
        <v>-</v>
      </c>
      <c r="E9" s="190">
        <f ca="1">IF(A9=0,"",uxb_ranking!BD13)</f>
        <v>6</v>
      </c>
      <c r="F9" s="14" t="str">
        <f ca="1">uxb_ranking!AI13</f>
        <v>Nicaragua</v>
      </c>
      <c r="G9" s="15">
        <f ca="1">uxb_ranking!AP13</f>
        <v>58</v>
      </c>
      <c r="H9" s="190" t="str">
        <f ca="1">uxb_ranking!CM13</f>
        <v>+4.2</v>
      </c>
      <c r="I9">
        <f ca="1">uxb_ranking!CT13</f>
        <v>1</v>
      </c>
      <c r="K9">
        <f ca="1">uxb_ranking!DI13</f>
        <v>-1</v>
      </c>
      <c r="L9" s="13" t="str">
        <f ca="1">uxb_ranking!DB13</f>
        <v>-2</v>
      </c>
      <c r="M9" s="190" t="str">
        <f ca="1">IF($A9=0,"",uxb_ranking!BE13)</f>
        <v>=6</v>
      </c>
      <c r="N9" s="14" t="str">
        <f ca="1">uxb_ranking!AJ13</f>
        <v>El Salvador</v>
      </c>
      <c r="O9" s="20">
        <f ca="1">uxb_ranking!AQ13</f>
        <v>56.3</v>
      </c>
      <c r="P9" s="190" t="str">
        <f ca="1">uxb_ranking!CN13</f>
        <v>-6.2</v>
      </c>
      <c r="Q9">
        <f ca="1">uxb_ranking!CU13</f>
        <v>-1</v>
      </c>
      <c r="U9">
        <f ca="1">uxb_ranking!DJ13</f>
        <v>0</v>
      </c>
      <c r="V9" s="13" t="str">
        <f ca="1">uxb_ranking!DC13</f>
        <v/>
      </c>
      <c r="W9" s="190">
        <f ca="1">IF($A9=0,"",uxb_ranking!BF13)</f>
        <v>6</v>
      </c>
      <c r="X9" s="14" t="str">
        <f ca="1">uxb_ranking!AK13</f>
        <v>Jamaica</v>
      </c>
      <c r="Y9" s="20">
        <f ca="1">uxb_ranking!AR13</f>
        <v>55.8</v>
      </c>
      <c r="Z9" s="190" t="str">
        <f ca="1">uxb_ranking!CO13</f>
        <v>new</v>
      </c>
      <c r="AA9" s="186">
        <f ca="1">uxb_ranking!CV13</f>
        <v>0</v>
      </c>
      <c r="AC9" s="186">
        <f ca="1">uxb_ranking!DK13</f>
        <v>1</v>
      </c>
      <c r="AD9" s="13" t="str">
        <f ca="1">uxb_ranking!DD13</f>
        <v>+2</v>
      </c>
      <c r="AE9" s="190" t="str">
        <f ca="1">IF($A9=0,"",uxb_ranking!BG13)</f>
        <v>=6</v>
      </c>
      <c r="AF9" s="14" t="str">
        <f ca="1">uxb_ranking!AL13</f>
        <v>Colombia</v>
      </c>
      <c r="AG9" s="20">
        <f ca="1">uxb_ranking!AS13</f>
        <v>58.3</v>
      </c>
      <c r="AH9" s="190" t="str">
        <f ca="1">uxb_ranking!CP13</f>
        <v>+16.6</v>
      </c>
      <c r="AI9" s="186">
        <f ca="1">uxb_ranking!CW13</f>
        <v>1</v>
      </c>
    </row>
    <row r="10" spans="1:99" ht="18" customHeight="1">
      <c r="A10" s="106">
        <v>1</v>
      </c>
      <c r="B10" s="106"/>
      <c r="C10" s="186">
        <f ca="1">uxb_ranking!DH14</f>
        <v>1</v>
      </c>
      <c r="D10" s="13" t="str">
        <f ca="1">uxb_ranking!DA14</f>
        <v>+4</v>
      </c>
      <c r="E10" s="190">
        <f ca="1">IF(A10=0,"",uxb_ranking!BD14)</f>
        <v>7</v>
      </c>
      <c r="F10" s="14" t="str">
        <f ca="1">uxb_ranking!AI14</f>
        <v>Guatemala</v>
      </c>
      <c r="G10" s="15">
        <f ca="1">uxb_ranking!AP14</f>
        <v>54</v>
      </c>
      <c r="H10" s="190" t="str">
        <f ca="1">uxb_ranking!CM14</f>
        <v>+10.0</v>
      </c>
      <c r="I10">
        <f ca="1">uxb_ranking!CT14</f>
        <v>1</v>
      </c>
      <c r="K10">
        <f ca="1">uxb_ranking!DI14</f>
        <v>0</v>
      </c>
      <c r="L10" s="13" t="str">
        <f ca="1">uxb_ranking!DB14</f>
        <v>-</v>
      </c>
      <c r="M10" s="190" t="str">
        <f ca="1">IF($A10=0,"",uxb_ranking!BE14)</f>
        <v>=6</v>
      </c>
      <c r="N10" s="14" t="str">
        <f ca="1">uxb_ranking!AJ14</f>
        <v>Guatemala</v>
      </c>
      <c r="O10" s="20">
        <f ca="1">uxb_ranking!AQ14</f>
        <v>56.3</v>
      </c>
      <c r="P10" s="190" t="str">
        <f ca="1">uxb_ranking!CN14</f>
        <v>-</v>
      </c>
      <c r="Q10">
        <f ca="1">uxb_ranking!CU14</f>
        <v>0</v>
      </c>
      <c r="U10">
        <f ca="1">uxb_ranking!DJ14</f>
        <v>-1</v>
      </c>
      <c r="V10" s="13" t="str">
        <f ca="1">uxb_ranking!DC14</f>
        <v>-5</v>
      </c>
      <c r="W10" s="190">
        <f ca="1">IF($A10=0,"",uxb_ranking!BF14)</f>
        <v>7</v>
      </c>
      <c r="X10" s="14" t="str">
        <f ca="1">uxb_ranking!AK14</f>
        <v>Brazil</v>
      </c>
      <c r="Y10" s="20">
        <f ca="1">uxb_ranking!AR14</f>
        <v>53.6</v>
      </c>
      <c r="Z10" s="190" t="str">
        <f ca="1">uxb_ranking!CO14</f>
        <v>-8.5</v>
      </c>
      <c r="AA10" s="186">
        <f ca="1">uxb_ranking!CV14</f>
        <v>-1</v>
      </c>
      <c r="AC10" s="186">
        <f ca="1">uxb_ranking!DK14</f>
        <v>1</v>
      </c>
      <c r="AD10" s="13" t="str">
        <f ca="1">uxb_ranking!DD14</f>
        <v>+4</v>
      </c>
      <c r="AE10" s="190" t="str">
        <f ca="1">IF($A10=0,"",uxb_ranking!BG14)</f>
        <v>=6</v>
      </c>
      <c r="AF10" s="14" t="str">
        <f ca="1">uxb_ranking!AL14</f>
        <v>Guatemala</v>
      </c>
      <c r="AG10" s="20">
        <f ca="1">uxb_ranking!AS14</f>
        <v>58.3</v>
      </c>
      <c r="AH10" s="190" t="str">
        <f ca="1">uxb_ranking!CP14</f>
        <v>+25.0</v>
      </c>
      <c r="AI10" s="186">
        <f ca="1">uxb_ranking!CW14</f>
        <v>1</v>
      </c>
    </row>
    <row r="11" spans="1:99" ht="18" customHeight="1">
      <c r="A11" s="106">
        <v>1</v>
      </c>
      <c r="B11" s="106"/>
      <c r="C11" s="186">
        <f ca="1">uxb_ranking!DH15</f>
        <v>-1</v>
      </c>
      <c r="D11" s="13" t="str">
        <f ca="1">uxb_ranking!DA15</f>
        <v>-1</v>
      </c>
      <c r="E11" s="190">
        <f ca="1">IF(A11=0,"",uxb_ranking!BD15)</f>
        <v>8</v>
      </c>
      <c r="F11" s="14" t="str">
        <f ca="1">uxb_ranking!AI15</f>
        <v>Paraguay</v>
      </c>
      <c r="G11" s="15">
        <f ca="1">uxb_ranking!AP15</f>
        <v>49.6</v>
      </c>
      <c r="H11" s="190" t="str">
        <f ca="1">uxb_ranking!CM15</f>
        <v>-3.3</v>
      </c>
      <c r="I11">
        <f ca="1">uxb_ranking!CT15</f>
        <v>-1</v>
      </c>
      <c r="K11">
        <f ca="1">uxb_ranking!DI15</f>
        <v>1</v>
      </c>
      <c r="L11" s="13" t="str">
        <f ca="1">uxb_ranking!DB15</f>
        <v>+2</v>
      </c>
      <c r="M11" s="190" t="str">
        <f ca="1">IF($A11=0,"",uxb_ranking!BE15)</f>
        <v>=6</v>
      </c>
      <c r="N11" s="14" t="str">
        <f ca="1">uxb_ranking!AJ15</f>
        <v>Mexico</v>
      </c>
      <c r="O11" s="20">
        <f ca="1">uxb_ranking!AQ15</f>
        <v>56.3</v>
      </c>
      <c r="P11" s="190" t="str">
        <f ca="1">uxb_ranking!CN15</f>
        <v>+6.3</v>
      </c>
      <c r="Q11">
        <f ca="1">uxb_ranking!CU15</f>
        <v>1</v>
      </c>
      <c r="U11">
        <f ca="1">uxb_ranking!DJ15</f>
        <v>-1</v>
      </c>
      <c r="V11" s="13" t="str">
        <f ca="1">uxb_ranking!DC15</f>
        <v>-1</v>
      </c>
      <c r="W11" s="190">
        <f ca="1">IF($A11=0,"",uxb_ranking!BF15)</f>
        <v>8</v>
      </c>
      <c r="X11" s="14" t="str">
        <f ca="1">uxb_ranking!AK15</f>
        <v>Colombia</v>
      </c>
      <c r="Y11" s="20">
        <f ca="1">uxb_ranking!AR15</f>
        <v>51.4</v>
      </c>
      <c r="Z11" s="190" t="str">
        <f ca="1">uxb_ranking!CO15</f>
        <v>+4.3</v>
      </c>
      <c r="AA11" s="186">
        <f ca="1">uxb_ranking!CV15</f>
        <v>1</v>
      </c>
      <c r="AC11" s="186">
        <f ca="1">uxb_ranking!DK15</f>
        <v>-1</v>
      </c>
      <c r="AD11" s="13" t="str">
        <f ca="1">uxb_ranking!DD15</f>
        <v>-7</v>
      </c>
      <c r="AE11" s="190" t="str">
        <f ca="1">IF($A11=0,"",uxb_ranking!BG15)</f>
        <v>=8</v>
      </c>
      <c r="AF11" s="14" t="str">
        <f ca="1">uxb_ranking!AL15</f>
        <v>Dominican Rep</v>
      </c>
      <c r="AG11" s="20">
        <f ca="1">uxb_ranking!AS15</f>
        <v>50</v>
      </c>
      <c r="AH11" s="190" t="str">
        <f ca="1">uxb_ranking!CP15</f>
        <v>-25.0</v>
      </c>
      <c r="AI11" s="186">
        <f ca="1">uxb_ranking!CW15</f>
        <v>-1</v>
      </c>
    </row>
    <row r="12" spans="1:99" ht="18" customHeight="1">
      <c r="A12" s="106">
        <v>1</v>
      </c>
      <c r="B12" s="106"/>
      <c r="C12" s="186">
        <f ca="1">uxb_ranking!DH16</f>
        <v>-1</v>
      </c>
      <c r="D12" s="13" t="str">
        <f ca="1">uxb_ranking!DA16</f>
        <v>-4</v>
      </c>
      <c r="E12" s="190">
        <f ca="1">IF(A12=0,"",uxb_ranking!BD16)</f>
        <v>9</v>
      </c>
      <c r="F12" s="14" t="str">
        <f ca="1">uxb_ranking!AI16</f>
        <v>Dominican Rep</v>
      </c>
      <c r="G12" s="15">
        <f ca="1">uxb_ranking!AP16</f>
        <v>48</v>
      </c>
      <c r="H12" s="190" t="str">
        <f ca="1">uxb_ranking!CM16</f>
        <v>-9.5</v>
      </c>
      <c r="I12">
        <f ca="1">uxb_ranking!CT16</f>
        <v>-1</v>
      </c>
      <c r="K12">
        <f ca="1">uxb_ranking!DI16</f>
        <v>0</v>
      </c>
      <c r="L12" s="13" t="str">
        <f ca="1">uxb_ranking!DB16</f>
        <v>-</v>
      </c>
      <c r="M12" s="190" t="str">
        <f ca="1">IF($A12=0,"",uxb_ranking!BE16)</f>
        <v>=6</v>
      </c>
      <c r="N12" s="14" t="str">
        <f ca="1">uxb_ranking!AJ16</f>
        <v>Nicaragua</v>
      </c>
      <c r="O12" s="20">
        <f ca="1">uxb_ranking!AQ16</f>
        <v>56.3</v>
      </c>
      <c r="P12" s="190" t="str">
        <f ca="1">uxb_ranking!CN16</f>
        <v>-</v>
      </c>
      <c r="Q12">
        <f ca="1">uxb_ranking!CU16</f>
        <v>0</v>
      </c>
      <c r="U12">
        <f ca="1">uxb_ranking!DJ16</f>
        <v>-1</v>
      </c>
      <c r="V12" s="13" t="str">
        <f ca="1">uxb_ranking!DC16</f>
        <v>-3</v>
      </c>
      <c r="W12" s="190">
        <f ca="1">IF($A12=0,"",uxb_ranking!BF16)</f>
        <v>9</v>
      </c>
      <c r="X12" s="14" t="str">
        <f ca="1">uxb_ranking!AK16</f>
        <v>El Salvador</v>
      </c>
      <c r="Y12" s="20">
        <f ca="1">uxb_ranking!AR16</f>
        <v>49.2</v>
      </c>
      <c r="Z12" s="190" t="str">
        <f ca="1">uxb_ranking!CO16</f>
        <v>-</v>
      </c>
      <c r="AA12" s="186">
        <f ca="1">uxb_ranking!CV16</f>
        <v>0</v>
      </c>
      <c r="AC12" s="186">
        <f ca="1">uxb_ranking!DK16</f>
        <v>0</v>
      </c>
      <c r="AD12" s="13" t="str">
        <f ca="1">uxb_ranking!DD16</f>
        <v/>
      </c>
      <c r="AE12" s="190" t="str">
        <f ca="1">IF($A12=0,"",uxb_ranking!BG16)</f>
        <v>=8</v>
      </c>
      <c r="AF12" s="14" t="str">
        <f ca="1">uxb_ranking!AL16</f>
        <v>Honduras</v>
      </c>
      <c r="AG12" s="20">
        <f ca="1">uxb_ranking!AS16</f>
        <v>50</v>
      </c>
      <c r="AH12" s="190" t="str">
        <f ca="1">uxb_ranking!CP16</f>
        <v>new</v>
      </c>
      <c r="AI12" s="186">
        <f ca="1">uxb_ranking!CW16</f>
        <v>0</v>
      </c>
    </row>
    <row r="13" spans="1:99" ht="18" customHeight="1">
      <c r="A13" s="106">
        <v>1</v>
      </c>
      <c r="B13" s="106"/>
      <c r="C13" s="186">
        <f ca="1">uxb_ranking!DH17</f>
        <v>-1</v>
      </c>
      <c r="D13" s="13" t="str">
        <f ca="1">uxb_ranking!DA17</f>
        <v>-2</v>
      </c>
      <c r="E13" s="190" t="str">
        <f ca="1">IF(A13=0,"",uxb_ranking!BD17)</f>
        <v>=10</v>
      </c>
      <c r="F13" s="14" t="str">
        <f ca="1">uxb_ranking!AI17</f>
        <v>Mexico</v>
      </c>
      <c r="G13" s="15">
        <f ca="1">uxb_ranking!AP17</f>
        <v>47.5</v>
      </c>
      <c r="H13" s="190" t="str">
        <f ca="1">uxb_ranking!CM17</f>
        <v>-0.8</v>
      </c>
      <c r="I13">
        <f ca="1">uxb_ranking!CT17</f>
        <v>-1</v>
      </c>
      <c r="K13">
        <f ca="1">uxb_ranking!DI17</f>
        <v>0</v>
      </c>
      <c r="L13" s="13" t="str">
        <f ca="1">uxb_ranking!DB17</f>
        <v/>
      </c>
      <c r="M13" s="190" t="str">
        <f ca="1">IF($A13=0,"",uxb_ranking!BE17)</f>
        <v>=6</v>
      </c>
      <c r="N13" s="14" t="str">
        <f ca="1">uxb_ranking!AJ17</f>
        <v>Panama</v>
      </c>
      <c r="O13" s="20">
        <f ca="1">uxb_ranking!AQ17</f>
        <v>56.3</v>
      </c>
      <c r="P13" s="190" t="str">
        <f ca="1">uxb_ranking!CN17</f>
        <v>new</v>
      </c>
      <c r="Q13">
        <f ca="1">uxb_ranking!CU17</f>
        <v>0</v>
      </c>
      <c r="U13">
        <f ca="1">uxb_ranking!DJ17</f>
        <v>-1</v>
      </c>
      <c r="V13" s="13" t="str">
        <f ca="1">uxb_ranking!DC17</f>
        <v>-3</v>
      </c>
      <c r="W13" s="190">
        <f ca="1">IF($A13=0,"",uxb_ranking!BF17)</f>
        <v>10</v>
      </c>
      <c r="X13" s="14" t="str">
        <f ca="1">uxb_ranking!AK17</f>
        <v>Bolivia</v>
      </c>
      <c r="Y13" s="20">
        <f ca="1">uxb_ranking!AR17</f>
        <v>46.9</v>
      </c>
      <c r="Z13" s="190" t="str">
        <f ca="1">uxb_ranking!CO17</f>
        <v>-0.2</v>
      </c>
      <c r="AA13" s="186">
        <f ca="1">uxb_ranking!CV17</f>
        <v>-1</v>
      </c>
      <c r="AC13" s="186">
        <f ca="1">uxb_ranking!DK17</f>
        <v>-1</v>
      </c>
      <c r="AD13" s="13" t="str">
        <f ca="1">uxb_ranking!DD17</f>
        <v>-3</v>
      </c>
      <c r="AE13" s="190">
        <f ca="1">IF($A13=0,"",uxb_ranking!BG17)</f>
        <v>10</v>
      </c>
      <c r="AF13" s="14" t="str">
        <f ca="1">uxb_ranking!AL17</f>
        <v>Paraguay</v>
      </c>
      <c r="AG13" s="20">
        <f ca="1">uxb_ranking!AS17</f>
        <v>41.7</v>
      </c>
      <c r="AH13" s="190" t="str">
        <f ca="1">uxb_ranking!CP17</f>
        <v>-8.3</v>
      </c>
      <c r="AI13" s="186">
        <f ca="1">uxb_ranking!CW17</f>
        <v>-1</v>
      </c>
    </row>
    <row r="14" spans="1:99" ht="18" customHeight="1">
      <c r="A14" s="106">
        <v>1</v>
      </c>
      <c r="B14" s="106"/>
      <c r="C14" s="186">
        <f ca="1">uxb_ranking!DH18</f>
        <v>0</v>
      </c>
      <c r="D14" s="13" t="str">
        <f ca="1">uxb_ranking!DA18</f>
        <v/>
      </c>
      <c r="E14" s="190" t="str">
        <f ca="1">IF(A14=0,"",uxb_ranking!BD18)</f>
        <v>=10</v>
      </c>
      <c r="F14" s="14" t="str">
        <f ca="1">uxb_ranking!AI18</f>
        <v>Panama</v>
      </c>
      <c r="G14" s="15">
        <f ca="1">uxb_ranking!AP18</f>
        <v>47.5</v>
      </c>
      <c r="H14" s="190" t="str">
        <f ca="1">uxb_ranking!CM18</f>
        <v>new</v>
      </c>
      <c r="I14">
        <f ca="1">uxb_ranking!CT18</f>
        <v>0</v>
      </c>
      <c r="K14">
        <f ca="1">uxb_ranking!DI18</f>
        <v>-1</v>
      </c>
      <c r="L14" s="13" t="str">
        <f ca="1">uxb_ranking!DB18</f>
        <v>-3</v>
      </c>
      <c r="M14" s="190" t="str">
        <f ca="1">IF($A14=0,"",uxb_ranking!BE18)</f>
        <v>=11</v>
      </c>
      <c r="N14" s="14" t="str">
        <f ca="1">uxb_ranking!AJ18</f>
        <v>Dominican Rep</v>
      </c>
      <c r="O14" s="20">
        <f ca="1">uxb_ranking!AQ18</f>
        <v>50</v>
      </c>
      <c r="P14" s="190" t="str">
        <f ca="1">uxb_ranking!CN18</f>
        <v>-</v>
      </c>
      <c r="Q14">
        <f ca="1">uxb_ranking!CU18</f>
        <v>0</v>
      </c>
      <c r="U14">
        <f ca="1">uxb_ranking!DJ18</f>
        <v>-1</v>
      </c>
      <c r="V14" s="13" t="str">
        <f ca="1">uxb_ranking!DC18</f>
        <v>-6</v>
      </c>
      <c r="W14" s="190">
        <f ca="1">IF($A14=0,"",uxb_ranking!BF18)</f>
        <v>11</v>
      </c>
      <c r="X14" s="14" t="str">
        <f ca="1">uxb_ranking!AK18</f>
        <v>Uruguay</v>
      </c>
      <c r="Y14" s="20">
        <f ca="1">uxb_ranking!AR18</f>
        <v>45.8</v>
      </c>
      <c r="Z14" s="190" t="str">
        <f ca="1">uxb_ranking!CO18</f>
        <v>-8.4</v>
      </c>
      <c r="AA14" s="186">
        <f ca="1">uxb_ranking!CV18</f>
        <v>-1</v>
      </c>
      <c r="AC14" s="186">
        <f ca="1">uxb_ranking!DK18</f>
        <v>1</v>
      </c>
      <c r="AD14" s="13" t="str">
        <f ca="1">uxb_ranking!DD18</f>
        <v>+2</v>
      </c>
      <c r="AE14" s="190" t="str">
        <f ca="1">IF($A14=0,"",uxb_ranking!BG18)</f>
        <v>=11</v>
      </c>
      <c r="AF14" s="14" t="str">
        <f ca="1">uxb_ranking!AL18</f>
        <v>Argentina</v>
      </c>
      <c r="AG14" s="20">
        <f ca="1">uxb_ranking!AS18</f>
        <v>33.299999999999997</v>
      </c>
      <c r="AH14" s="190" t="str">
        <f ca="1">uxb_ranking!CP18</f>
        <v>+8.3</v>
      </c>
      <c r="AI14" s="186">
        <f ca="1">uxb_ranking!CW18</f>
        <v>1</v>
      </c>
    </row>
    <row r="15" spans="1:99" ht="18" customHeight="1">
      <c r="A15" s="106">
        <v>1</v>
      </c>
      <c r="B15" s="106"/>
      <c r="C15" s="186">
        <f ca="1">uxb_ranking!DH19</f>
        <v>0</v>
      </c>
      <c r="D15" s="13" t="str">
        <f ca="1">uxb_ranking!DA19</f>
        <v/>
      </c>
      <c r="E15" s="190">
        <f ca="1">IF(A15=0,"",uxb_ranking!BD19)</f>
        <v>12</v>
      </c>
      <c r="F15" s="14" t="str">
        <f ca="1">uxb_ranking!AI19</f>
        <v>Honduras</v>
      </c>
      <c r="G15" s="15">
        <f ca="1">uxb_ranking!AP19</f>
        <v>47.1</v>
      </c>
      <c r="H15" s="190" t="str">
        <f ca="1">uxb_ranking!CM19</f>
        <v>new</v>
      </c>
      <c r="I15">
        <f ca="1">uxb_ranking!CT19</f>
        <v>0</v>
      </c>
      <c r="K15">
        <f ca="1">uxb_ranking!DI19</f>
        <v>0</v>
      </c>
      <c r="L15" s="13" t="str">
        <f ca="1">uxb_ranking!DB19</f>
        <v/>
      </c>
      <c r="M15" s="190" t="str">
        <f ca="1">IF($A15=0,"",uxb_ranking!BE19)</f>
        <v>=11</v>
      </c>
      <c r="N15" s="14" t="str">
        <f ca="1">uxb_ranking!AJ19</f>
        <v>Honduras</v>
      </c>
      <c r="O15" s="20">
        <f ca="1">uxb_ranking!AQ19</f>
        <v>50</v>
      </c>
      <c r="P15" s="190" t="str">
        <f ca="1">uxb_ranking!CN19</f>
        <v>new</v>
      </c>
      <c r="Q15">
        <f ca="1">uxb_ranking!CU19</f>
        <v>0</v>
      </c>
      <c r="U15">
        <f ca="1">uxb_ranking!DJ19</f>
        <v>1</v>
      </c>
      <c r="V15" s="13" t="str">
        <f ca="1">uxb_ranking!DC19</f>
        <v>+1</v>
      </c>
      <c r="W15" s="190">
        <f ca="1">IF($A15=0,"",uxb_ranking!BF19)</f>
        <v>12</v>
      </c>
      <c r="X15" s="14" t="str">
        <f ca="1">uxb_ranking!AK19</f>
        <v>Nicaragua</v>
      </c>
      <c r="Y15" s="20">
        <f ca="1">uxb_ranking!AR19</f>
        <v>44.2</v>
      </c>
      <c r="Z15" s="190" t="str">
        <f ca="1">uxb_ranking!CO19</f>
        <v>+4.2</v>
      </c>
      <c r="AA15" s="186">
        <f ca="1">uxb_ranking!CV19</f>
        <v>1</v>
      </c>
      <c r="AC15" s="186">
        <f ca="1">uxb_ranking!DK19</f>
        <v>-1</v>
      </c>
      <c r="AD15" s="13" t="str">
        <f ca="1">uxb_ranking!DD19</f>
        <v>-1</v>
      </c>
      <c r="AE15" s="190" t="str">
        <f ca="1">IF($A15=0,"",uxb_ranking!BG19)</f>
        <v>=11</v>
      </c>
      <c r="AF15" s="14" t="str">
        <f ca="1">uxb_ranking!AL19</f>
        <v>Brazil</v>
      </c>
      <c r="AG15" s="20">
        <f ca="1">uxb_ranking!AS19</f>
        <v>33.299999999999997</v>
      </c>
      <c r="AH15" s="190" t="str">
        <f ca="1">uxb_ranking!CP19</f>
        <v>-</v>
      </c>
      <c r="AI15" s="186">
        <f ca="1">uxb_ranking!CW19</f>
        <v>0</v>
      </c>
    </row>
    <row r="16" spans="1:99" ht="18" customHeight="1">
      <c r="A16" s="106">
        <v>1</v>
      </c>
      <c r="B16" s="106"/>
      <c r="C16" s="186">
        <f ca="1">uxb_ranking!DH20</f>
        <v>-1</v>
      </c>
      <c r="D16" s="13" t="str">
        <f ca="1">uxb_ranking!DA20</f>
        <v>-5</v>
      </c>
      <c r="E16" s="190">
        <f ca="1">IF(A16=0,"",uxb_ranking!BD20)</f>
        <v>13</v>
      </c>
      <c r="F16" s="14" t="str">
        <f ca="1">uxb_ranking!AI20</f>
        <v>Chile</v>
      </c>
      <c r="G16" s="15">
        <f ca="1">uxb_ranking!AP20</f>
        <v>43.2</v>
      </c>
      <c r="H16" s="190" t="str">
        <f ca="1">uxb_ranking!CM20</f>
        <v>-5.1</v>
      </c>
      <c r="I16">
        <f ca="1">uxb_ranking!CT20</f>
        <v>-1</v>
      </c>
      <c r="K16">
        <f ca="1">uxb_ranking!DI20</f>
        <v>-1</v>
      </c>
      <c r="L16" s="13" t="str">
        <f ca="1">uxb_ranking!DB20</f>
        <v>-1</v>
      </c>
      <c r="M16" s="190" t="str">
        <f ca="1">IF($A16=0,"",uxb_ranking!BE20)</f>
        <v>=13</v>
      </c>
      <c r="N16" s="14" t="str">
        <f ca="1">uxb_ranking!AJ20</f>
        <v>Brazil</v>
      </c>
      <c r="O16" s="20">
        <f ca="1">uxb_ranking!AQ20</f>
        <v>43.8</v>
      </c>
      <c r="P16" s="190" t="str">
        <f ca="1">uxb_ranking!CN20</f>
        <v>-</v>
      </c>
      <c r="Q16">
        <f ca="1">uxb_ranking!CU20</f>
        <v>0</v>
      </c>
      <c r="U16">
        <f ca="1">uxb_ranking!DJ20</f>
        <v>-1</v>
      </c>
      <c r="V16" s="13" t="str">
        <f ca="1">uxb_ranking!DC20</f>
        <v>-3</v>
      </c>
      <c r="W16" s="190">
        <f ca="1">IF($A16=0,"",uxb_ranking!BF20)</f>
        <v>13</v>
      </c>
      <c r="X16" s="14" t="str">
        <f ca="1">uxb_ranking!AK20</f>
        <v>Venezuela</v>
      </c>
      <c r="Y16" s="20">
        <f ca="1">uxb_ranking!AR20</f>
        <v>41.4</v>
      </c>
      <c r="Z16" s="190" t="str">
        <f ca="1">uxb_ranking!CO20</f>
        <v>+0.1</v>
      </c>
      <c r="AA16" s="186">
        <f ca="1">uxb_ranking!CV20</f>
        <v>1</v>
      </c>
      <c r="AC16" s="186">
        <f ca="1">uxb_ranking!DK20</f>
        <v>-1</v>
      </c>
      <c r="AD16" s="13" t="str">
        <f ca="1">uxb_ranking!DD20</f>
        <v>-1</v>
      </c>
      <c r="AE16" s="190" t="str">
        <f ca="1">IF($A16=0,"",uxb_ranking!BG20)</f>
        <v>=11</v>
      </c>
      <c r="AF16" s="14" t="str">
        <f ca="1">uxb_ranking!AL20</f>
        <v>Chile</v>
      </c>
      <c r="AG16" s="20">
        <f ca="1">uxb_ranking!AS20</f>
        <v>33.299999999999997</v>
      </c>
      <c r="AH16" s="190" t="str">
        <f ca="1">uxb_ranking!CP20</f>
        <v>-</v>
      </c>
      <c r="AI16" s="186">
        <f ca="1">uxb_ranking!CW20</f>
        <v>0</v>
      </c>
    </row>
    <row r="17" spans="1:35" ht="18" customHeight="1">
      <c r="A17" s="106">
        <v>1</v>
      </c>
      <c r="B17" s="106"/>
      <c r="C17" s="186">
        <f ca="1">uxb_ranking!DH21</f>
        <v>-1</v>
      </c>
      <c r="D17" s="13" t="str">
        <f ca="1">uxb_ranking!DA21</f>
        <v>-2</v>
      </c>
      <c r="E17" s="190">
        <f ca="1">IF(A17=0,"",uxb_ranking!BD21)</f>
        <v>14</v>
      </c>
      <c r="F17" s="14" t="str">
        <f ca="1">uxb_ranking!AI21</f>
        <v>Brazil</v>
      </c>
      <c r="G17" s="15">
        <f ca="1">uxb_ranking!AP21</f>
        <v>41.6</v>
      </c>
      <c r="H17" s="190" t="str">
        <f ca="1">uxb_ranking!CM21</f>
        <v>-1.7</v>
      </c>
      <c r="I17">
        <f ca="1">uxb_ranking!CT21</f>
        <v>-1</v>
      </c>
      <c r="K17">
        <f ca="1">uxb_ranking!DI21</f>
        <v>0</v>
      </c>
      <c r="L17" s="13" t="str">
        <f ca="1">uxb_ranking!DB21</f>
        <v/>
      </c>
      <c r="M17" s="190" t="str">
        <f ca="1">IF($A17=0,"",uxb_ranking!BE21)</f>
        <v>=13</v>
      </c>
      <c r="N17" s="14" t="str">
        <f ca="1">uxb_ranking!AJ21</f>
        <v>Haiti</v>
      </c>
      <c r="O17" s="20">
        <f ca="1">uxb_ranking!AQ21</f>
        <v>43.8</v>
      </c>
      <c r="P17" s="190" t="str">
        <f ca="1">uxb_ranking!CN21</f>
        <v>new</v>
      </c>
      <c r="Q17">
        <f ca="1">uxb_ranking!CU21</f>
        <v>0</v>
      </c>
      <c r="U17">
        <f ca="1">uxb_ranking!DJ21</f>
        <v>-1</v>
      </c>
      <c r="V17" s="13" t="str">
        <f ca="1">uxb_ranking!DC21</f>
        <v>-2</v>
      </c>
      <c r="W17" s="190">
        <f ca="1">IF($A17=0,"",uxb_ranking!BF21)</f>
        <v>14</v>
      </c>
      <c r="X17" s="14" t="str">
        <f ca="1">uxb_ranking!AK21</f>
        <v>Guatemala</v>
      </c>
      <c r="Y17" s="20">
        <f ca="1">uxb_ranking!AR21</f>
        <v>40.799999999999997</v>
      </c>
      <c r="Z17" s="190" t="str">
        <f ca="1">uxb_ranking!CO21</f>
        <v>-</v>
      </c>
      <c r="AA17" s="186">
        <f ca="1">uxb_ranking!CV21</f>
        <v>0</v>
      </c>
      <c r="AC17" s="186">
        <f ca="1">uxb_ranking!DK21</f>
        <v>0</v>
      </c>
      <c r="AD17" s="13" t="str">
        <f ca="1">uxb_ranking!DD21</f>
        <v/>
      </c>
      <c r="AE17" s="190" t="str">
        <f ca="1">IF($A17=0,"",uxb_ranking!BG21)</f>
        <v>=11</v>
      </c>
      <c r="AF17" s="14" t="str">
        <f ca="1">uxb_ranking!AL21</f>
        <v>Costa Rica</v>
      </c>
      <c r="AG17" s="20">
        <f ca="1">uxb_ranking!AS21</f>
        <v>33.299999999999997</v>
      </c>
      <c r="AH17" s="190" t="str">
        <f ca="1">uxb_ranking!CP21</f>
        <v>new</v>
      </c>
      <c r="AI17" s="186">
        <f ca="1">uxb_ranking!CW21</f>
        <v>0</v>
      </c>
    </row>
    <row r="18" spans="1:35" ht="18" customHeight="1">
      <c r="A18" s="106">
        <v>1</v>
      </c>
      <c r="B18" s="106"/>
      <c r="C18" s="186">
        <f ca="1">uxb_ranking!DH22</f>
        <v>0</v>
      </c>
      <c r="D18" s="13" t="str">
        <f ca="1">uxb_ranking!DA22</f>
        <v/>
      </c>
      <c r="E18" s="190">
        <f ca="1">IF(A18=0,"",uxb_ranking!BD22)</f>
        <v>15</v>
      </c>
      <c r="F18" s="14" t="str">
        <f ca="1">uxb_ranking!AI22</f>
        <v>Costa Rica</v>
      </c>
      <c r="G18" s="15">
        <f ca="1">uxb_ranking!AP22</f>
        <v>40.299999999999997</v>
      </c>
      <c r="H18" s="190" t="str">
        <f ca="1">uxb_ranking!CM22</f>
        <v>new</v>
      </c>
      <c r="I18">
        <f ca="1">uxb_ranking!CT22</f>
        <v>0</v>
      </c>
      <c r="K18">
        <f ca="1">uxb_ranking!DI22</f>
        <v>-1</v>
      </c>
      <c r="L18" s="13" t="str">
        <f ca="1">uxb_ranking!DB22</f>
        <v>-7</v>
      </c>
      <c r="M18" s="190" t="str">
        <f ca="1">IF($A18=0,"",uxb_ranking!BE22)</f>
        <v>=15</v>
      </c>
      <c r="N18" s="14" t="str">
        <f ca="1">uxb_ranking!AJ22</f>
        <v>Chile</v>
      </c>
      <c r="O18" s="20">
        <f ca="1">uxb_ranking!AQ22</f>
        <v>37.5</v>
      </c>
      <c r="P18" s="190" t="str">
        <f ca="1">uxb_ranking!CN22</f>
        <v>-12.5</v>
      </c>
      <c r="Q18">
        <f ca="1">uxb_ranking!CU22</f>
        <v>-1</v>
      </c>
      <c r="U18">
        <f ca="1">uxb_ranking!DJ22</f>
        <v>0</v>
      </c>
      <c r="V18" s="13" t="str">
        <f ca="1">uxb_ranking!DC22</f>
        <v>-</v>
      </c>
      <c r="W18" s="190">
        <f ca="1">IF($A18=0,"",uxb_ranking!BF22)</f>
        <v>15</v>
      </c>
      <c r="X18" s="14" t="str">
        <f ca="1">uxb_ranking!AK22</f>
        <v>Dominican Rep</v>
      </c>
      <c r="Y18" s="20">
        <f ca="1">uxb_ranking!AR22</f>
        <v>40</v>
      </c>
      <c r="Z18" s="190" t="str">
        <f ca="1">uxb_ranking!CO22</f>
        <v>+2.5</v>
      </c>
      <c r="AA18" s="186">
        <f ca="1">uxb_ranking!CV22</f>
        <v>1</v>
      </c>
      <c r="AC18" s="186">
        <f ca="1">uxb_ranking!DK22</f>
        <v>-1</v>
      </c>
      <c r="AD18" s="13" t="str">
        <f ca="1">uxb_ranking!DD22</f>
        <v>-3</v>
      </c>
      <c r="AE18" s="190" t="str">
        <f ca="1">IF($A18=0,"",uxb_ranking!BG22)</f>
        <v>=11</v>
      </c>
      <c r="AF18" s="14" t="str">
        <f ca="1">uxb_ranking!AL22</f>
        <v>Mexico</v>
      </c>
      <c r="AG18" s="20">
        <f ca="1">uxb_ranking!AS22</f>
        <v>33.299999999999997</v>
      </c>
      <c r="AH18" s="190" t="str">
        <f ca="1">uxb_ranking!CP22</f>
        <v>-8.4</v>
      </c>
      <c r="AI18" s="186">
        <f ca="1">uxb_ranking!CW22</f>
        <v>-1</v>
      </c>
    </row>
    <row r="19" spans="1:35" ht="18" customHeight="1">
      <c r="A19" s="106">
        <v>1</v>
      </c>
      <c r="B19" s="106"/>
      <c r="C19" s="186">
        <f ca="1">uxb_ranking!DH23</f>
        <v>0</v>
      </c>
      <c r="D19" s="13" t="str">
        <f ca="1">uxb_ranking!DA23</f>
        <v/>
      </c>
      <c r="E19" s="190">
        <f ca="1">IF(A19=0,"",uxb_ranking!BD23)</f>
        <v>16</v>
      </c>
      <c r="F19" s="14" t="str">
        <f ca="1">uxb_ranking!AI23</f>
        <v>Haiti</v>
      </c>
      <c r="G19" s="15">
        <f ca="1">uxb_ranking!AP23</f>
        <v>30.2</v>
      </c>
      <c r="H19" s="190" t="str">
        <f ca="1">uxb_ranking!CM23</f>
        <v>new</v>
      </c>
      <c r="I19">
        <f ca="1">uxb_ranking!CT23</f>
        <v>0</v>
      </c>
      <c r="K19">
        <f ca="1">uxb_ranking!DI23</f>
        <v>0</v>
      </c>
      <c r="L19" s="13" t="str">
        <f ca="1">uxb_ranking!DB23</f>
        <v/>
      </c>
      <c r="M19" s="190" t="str">
        <f ca="1">IF($A19=0,"",uxb_ranking!BE23)</f>
        <v>=15</v>
      </c>
      <c r="N19" s="14" t="str">
        <f ca="1">uxb_ranking!AJ23</f>
        <v>Costa Rica</v>
      </c>
      <c r="O19" s="20">
        <f ca="1">uxb_ranking!AQ23</f>
        <v>37.5</v>
      </c>
      <c r="P19" s="190" t="str">
        <f ca="1">uxb_ranking!CN23</f>
        <v>new</v>
      </c>
      <c r="Q19">
        <f ca="1">uxb_ranking!CU23</f>
        <v>0</v>
      </c>
      <c r="U19">
        <f ca="1">uxb_ranking!DJ23</f>
        <v>-1</v>
      </c>
      <c r="V19" s="13" t="str">
        <f ca="1">uxb_ranking!DC23</f>
        <v>-2</v>
      </c>
      <c r="W19" s="190">
        <f ca="1">IF($A19=0,"",uxb_ranking!BF23)</f>
        <v>16</v>
      </c>
      <c r="X19" s="14" t="str">
        <f ca="1">uxb_ranking!AK23</f>
        <v>Paraguay</v>
      </c>
      <c r="Y19" s="20">
        <f ca="1">uxb_ranking!AR23</f>
        <v>39.700000000000003</v>
      </c>
      <c r="Z19" s="190" t="str">
        <f ca="1">uxb_ranking!CO23</f>
        <v>+0.1</v>
      </c>
      <c r="AA19" s="186">
        <f ca="1">uxb_ranking!CV23</f>
        <v>1</v>
      </c>
      <c r="AC19" s="186">
        <f ca="1">uxb_ranking!DK23</f>
        <v>0</v>
      </c>
      <c r="AD19" s="13" t="str">
        <f ca="1">uxb_ranking!DD23</f>
        <v/>
      </c>
      <c r="AE19" s="190" t="str">
        <f ca="1">IF($A19=0,"",uxb_ranking!BG23)</f>
        <v>=11</v>
      </c>
      <c r="AF19" s="14" t="str">
        <f ca="1">uxb_ranking!AL23</f>
        <v>Panama</v>
      </c>
      <c r="AG19" s="20">
        <f ca="1">uxb_ranking!AS23</f>
        <v>33.299999999999997</v>
      </c>
      <c r="AH19" s="190" t="str">
        <f ca="1">uxb_ranking!CP23</f>
        <v>new</v>
      </c>
      <c r="AI19" s="186">
        <f ca="1">uxb_ranking!CW23</f>
        <v>0</v>
      </c>
    </row>
    <row r="20" spans="1:35" ht="18" customHeight="1">
      <c r="A20" s="106">
        <v>1</v>
      </c>
      <c r="B20" s="106"/>
      <c r="C20" s="186">
        <f ca="1">uxb_ranking!DH24</f>
        <v>-1</v>
      </c>
      <c r="D20" s="13" t="str">
        <f ca="1">uxb_ranking!DA24</f>
        <v>-2</v>
      </c>
      <c r="E20" s="190">
        <f ca="1">IF(A20=0,"",uxb_ranking!BD24)</f>
        <v>17</v>
      </c>
      <c r="F20" s="14" t="str">
        <f ca="1">uxb_ranking!AI24</f>
        <v>Argentina</v>
      </c>
      <c r="G20" s="15">
        <f ca="1">uxb_ranking!AP24</f>
        <v>28.5</v>
      </c>
      <c r="H20" s="190" t="str">
        <f ca="1">uxb_ranking!CM24</f>
        <v>+1.7</v>
      </c>
      <c r="I20">
        <f ca="1">uxb_ranking!CT24</f>
        <v>1</v>
      </c>
      <c r="K20">
        <f ca="1">uxb_ranking!DI24</f>
        <v>-1</v>
      </c>
      <c r="L20" s="13" t="str">
        <f ca="1">uxb_ranking!DB24</f>
        <v>-4</v>
      </c>
      <c r="M20" s="190">
        <f ca="1">IF($A20=0,"",uxb_ranking!BE24)</f>
        <v>17</v>
      </c>
      <c r="N20" s="14" t="str">
        <f ca="1">uxb_ranking!AJ24</f>
        <v>Uruguay</v>
      </c>
      <c r="O20" s="20">
        <f ca="1">uxb_ranking!AQ24</f>
        <v>31.3</v>
      </c>
      <c r="P20" s="190" t="str">
        <f ca="1">uxb_ranking!CN24</f>
        <v>-6.2</v>
      </c>
      <c r="Q20">
        <f ca="1">uxb_ranking!CU24</f>
        <v>-1</v>
      </c>
      <c r="U20">
        <f ca="1">uxb_ranking!DJ24</f>
        <v>-1</v>
      </c>
      <c r="V20" s="13" t="str">
        <f ca="1">uxb_ranking!DC24</f>
        <v>-8</v>
      </c>
      <c r="W20" s="190">
        <f ca="1">IF($A20=0,"",uxb_ranking!BF24)</f>
        <v>17</v>
      </c>
      <c r="X20" s="14" t="str">
        <f ca="1">uxb_ranking!AK24</f>
        <v>Argentina</v>
      </c>
      <c r="Y20" s="20">
        <f ca="1">uxb_ranking!AR24</f>
        <v>38.299999999999997</v>
      </c>
      <c r="Z20" s="190" t="str">
        <f ca="1">uxb_ranking!CO24</f>
        <v>-8.4</v>
      </c>
      <c r="AA20" s="186">
        <f ca="1">uxb_ranking!CV24</f>
        <v>-1</v>
      </c>
      <c r="AC20" s="186">
        <f ca="1">uxb_ranking!DK24</f>
        <v>0</v>
      </c>
      <c r="AD20" s="13" t="str">
        <f ca="1">uxb_ranking!DD24</f>
        <v/>
      </c>
      <c r="AE20" s="190" t="str">
        <f ca="1">IF($A20=0,"",uxb_ranking!BG24)</f>
        <v>=17</v>
      </c>
      <c r="AF20" s="14" t="str">
        <f ca="1">uxb_ranking!AL24</f>
        <v>Haiti</v>
      </c>
      <c r="AG20" s="20">
        <f ca="1">uxb_ranking!AS24</f>
        <v>16.7</v>
      </c>
      <c r="AH20" s="190" t="str">
        <f ca="1">uxb_ranking!CP24</f>
        <v>new</v>
      </c>
      <c r="AI20" s="186">
        <f ca="1">uxb_ranking!CW24</f>
        <v>0</v>
      </c>
    </row>
    <row r="21" spans="1:35" ht="18" customHeight="1">
      <c r="A21" s="106">
        <v>1</v>
      </c>
      <c r="B21" s="106"/>
      <c r="C21" s="186">
        <f ca="1">uxb_ranking!DH25</f>
        <v>-1</v>
      </c>
      <c r="D21" s="13" t="str">
        <f ca="1">uxb_ranking!DA25</f>
        <v>-5</v>
      </c>
      <c r="E21" s="190">
        <f ca="1">IF(A21=0,"",uxb_ranking!BD25)</f>
        <v>18</v>
      </c>
      <c r="F21" s="14" t="str">
        <f ca="1">uxb_ranking!AI25</f>
        <v>Uruguay</v>
      </c>
      <c r="G21" s="15">
        <f ca="1">uxb_ranking!AP25</f>
        <v>28.3</v>
      </c>
      <c r="H21" s="190" t="str">
        <f ca="1">uxb_ranking!CM25</f>
        <v>-7.5</v>
      </c>
      <c r="I21">
        <f ca="1">uxb_ranking!CT25</f>
        <v>-1</v>
      </c>
      <c r="K21">
        <f ca="1">uxb_ranking!DI25</f>
        <v>0</v>
      </c>
      <c r="L21" s="13" t="str">
        <f ca="1">uxb_ranking!DB25</f>
        <v/>
      </c>
      <c r="M21" s="190" t="str">
        <f ca="1">IF($A21=0,"",uxb_ranking!BE25)</f>
        <v>=18</v>
      </c>
      <c r="N21" s="14" t="str">
        <f ca="1">uxb_ranking!AJ25</f>
        <v>Jamaica</v>
      </c>
      <c r="O21" s="20">
        <f ca="1">uxb_ranking!AQ25</f>
        <v>25</v>
      </c>
      <c r="P21" s="190" t="str">
        <f ca="1">uxb_ranking!CN25</f>
        <v>new</v>
      </c>
      <c r="Q21">
        <f ca="1">uxb_ranking!CU25</f>
        <v>0</v>
      </c>
      <c r="U21">
        <f ca="1">uxb_ranking!DJ25</f>
        <v>0</v>
      </c>
      <c r="V21" s="13" t="str">
        <f ca="1">uxb_ranking!DC25</f>
        <v/>
      </c>
      <c r="W21" s="190">
        <f ca="1">IF($A21=0,"",uxb_ranking!BF25)</f>
        <v>18</v>
      </c>
      <c r="X21" s="14" t="str">
        <f ca="1">uxb_ranking!AK25</f>
        <v>Honduras</v>
      </c>
      <c r="Y21" s="20">
        <f ca="1">uxb_ranking!AR25</f>
        <v>35.5</v>
      </c>
      <c r="Z21" s="190" t="str">
        <f ca="1">uxb_ranking!CO25</f>
        <v>new</v>
      </c>
      <c r="AA21" s="186">
        <f ca="1">uxb_ranking!CV25</f>
        <v>0</v>
      </c>
      <c r="AC21" s="186">
        <f ca="1">uxb_ranking!DK25</f>
        <v>-1</v>
      </c>
      <c r="AD21" s="13" t="str">
        <f ca="1">uxb_ranking!DD25</f>
        <v>-4</v>
      </c>
      <c r="AE21" s="190" t="str">
        <f ca="1">IF($A21=0,"",uxb_ranking!BG25)</f>
        <v>=17</v>
      </c>
      <c r="AF21" s="14" t="str">
        <f ca="1">uxb_ranking!AL25</f>
        <v>Uruguay</v>
      </c>
      <c r="AG21" s="20">
        <f ca="1">uxb_ranking!AS25</f>
        <v>16.7</v>
      </c>
      <c r="AH21" s="190" t="str">
        <f ca="1">uxb_ranking!CP25</f>
        <v>-8.3</v>
      </c>
      <c r="AI21" s="186">
        <f ca="1">uxb_ranking!CW25</f>
        <v>-1</v>
      </c>
    </row>
    <row r="22" spans="1:35" ht="18" customHeight="1">
      <c r="A22" s="106">
        <v>1</v>
      </c>
      <c r="B22" s="106"/>
      <c r="C22" s="186">
        <f ca="1">uxb_ranking!DH26</f>
        <v>-1</v>
      </c>
      <c r="D22" s="13" t="str">
        <f ca="1">uxb_ranking!DA26</f>
        <v>-5</v>
      </c>
      <c r="E22" s="190">
        <f ca="1">IF(A22=0,"",uxb_ranking!BD26)</f>
        <v>19</v>
      </c>
      <c r="F22" s="14" t="str">
        <f ca="1">uxb_ranking!AI26</f>
        <v>Venezuela</v>
      </c>
      <c r="G22" s="15">
        <f ca="1">uxb_ranking!AP26</f>
        <v>24.9</v>
      </c>
      <c r="H22" s="190" t="str">
        <f ca="1">uxb_ranking!CM26</f>
        <v>-2.5</v>
      </c>
      <c r="I22">
        <f ca="1">uxb_ranking!CT26</f>
        <v>-1</v>
      </c>
      <c r="K22">
        <f ca="1">uxb_ranking!DI26</f>
        <v>-1</v>
      </c>
      <c r="L22" s="13" t="str">
        <f ca="1">uxb_ranking!DB26</f>
        <v>-4</v>
      </c>
      <c r="M22" s="190" t="str">
        <f ca="1">IF($A22=0,"",uxb_ranking!BE26)</f>
        <v>=18</v>
      </c>
      <c r="N22" s="14" t="str">
        <f ca="1">uxb_ranking!AJ26</f>
        <v>Venezuela</v>
      </c>
      <c r="O22" s="20">
        <f ca="1">uxb_ranking!AQ26</f>
        <v>25</v>
      </c>
      <c r="P22" s="190" t="str">
        <f ca="1">uxb_ranking!CN26</f>
        <v>-6.3</v>
      </c>
      <c r="Q22">
        <f ca="1">uxb_ranking!CU26</f>
        <v>-1</v>
      </c>
      <c r="U22">
        <f ca="1">uxb_ranking!DJ26</f>
        <v>-1</v>
      </c>
      <c r="V22" s="13" t="str">
        <f ca="1">uxb_ranking!DC26</f>
        <v>-9</v>
      </c>
      <c r="W22" s="190">
        <f ca="1">IF($A22=0,"",uxb_ranking!BF26)</f>
        <v>19</v>
      </c>
      <c r="X22" s="14" t="str">
        <f ca="1">uxb_ranking!AK26</f>
        <v>Ecuador</v>
      </c>
      <c r="Y22" s="20">
        <f ca="1">uxb_ranking!AR26</f>
        <v>31.7</v>
      </c>
      <c r="Z22" s="190" t="str">
        <f ca="1">uxb_ranking!CO26</f>
        <v>-9.6</v>
      </c>
      <c r="AA22" s="186">
        <f ca="1">uxb_ranking!CV26</f>
        <v>-1</v>
      </c>
      <c r="AC22" s="186">
        <f ca="1">uxb_ranking!DK26</f>
        <v>-1</v>
      </c>
      <c r="AD22" s="13" t="str">
        <f ca="1">uxb_ranking!DD26</f>
        <v>-2</v>
      </c>
      <c r="AE22" s="190" t="str">
        <f ca="1">IF($A22=0,"",uxb_ranking!BG26)</f>
        <v>=17</v>
      </c>
      <c r="AF22" s="14" t="str">
        <f ca="1">uxb_ranking!AL26</f>
        <v>Venezuela</v>
      </c>
      <c r="AG22" s="20">
        <f ca="1">uxb_ranking!AS26</f>
        <v>16.7</v>
      </c>
      <c r="AH22" s="190" t="str">
        <f ca="1">uxb_ranking!CP26</f>
        <v>-</v>
      </c>
      <c r="AI22" s="186">
        <f ca="1">uxb_ranking!CW26</f>
        <v>0</v>
      </c>
    </row>
    <row r="23" spans="1:35" ht="18" customHeight="1">
      <c r="A23" s="106">
        <v>1</v>
      </c>
      <c r="B23" s="106"/>
      <c r="C23" s="186">
        <f ca="1">uxb_ranking!DH27</f>
        <v>0</v>
      </c>
      <c r="D23" s="13" t="str">
        <f ca="1">uxb_ranking!DA27</f>
        <v/>
      </c>
      <c r="E23" s="190">
        <f ca="1">IF(A23=0,"",uxb_ranking!BD27)</f>
        <v>20</v>
      </c>
      <c r="F23" s="14" t="str">
        <f ca="1">uxb_ranking!AI27</f>
        <v>Jamaica</v>
      </c>
      <c r="G23" s="15">
        <f ca="1">uxb_ranking!AP27</f>
        <v>21.2</v>
      </c>
      <c r="H23" s="190" t="str">
        <f ca="1">uxb_ranking!CM27</f>
        <v>new</v>
      </c>
      <c r="I23">
        <f ca="1">uxb_ranking!CT27</f>
        <v>0</v>
      </c>
      <c r="K23">
        <f ca="1">uxb_ranking!DI27</f>
        <v>-1</v>
      </c>
      <c r="L23" s="13" t="str">
        <f ca="1">uxb_ranking!DB27</f>
        <v>-5</v>
      </c>
      <c r="M23" s="190">
        <f ca="1">IF($A23=0,"",uxb_ranking!BE27)</f>
        <v>20</v>
      </c>
      <c r="N23" s="14" t="str">
        <f ca="1">uxb_ranking!AJ27</f>
        <v>Argentina</v>
      </c>
      <c r="O23" s="20">
        <f ca="1">uxb_ranking!AQ27</f>
        <v>18.8</v>
      </c>
      <c r="P23" s="190" t="str">
        <f ca="1">uxb_ranking!CN27</f>
        <v>-</v>
      </c>
      <c r="Q23">
        <f ca="1">uxb_ranking!CU27</f>
        <v>0</v>
      </c>
      <c r="U23">
        <f ca="1">uxb_ranking!DJ27</f>
        <v>0</v>
      </c>
      <c r="V23" s="13" t="str">
        <f ca="1">uxb_ranking!DC27</f>
        <v/>
      </c>
      <c r="W23" s="190">
        <f ca="1">IF($A23=0,"",uxb_ranking!BF27)</f>
        <v>20</v>
      </c>
      <c r="X23" s="14" t="str">
        <f ca="1">uxb_ranking!AK27</f>
        <v>Haiti</v>
      </c>
      <c r="Y23" s="20">
        <f ca="1">uxb_ranking!AR27</f>
        <v>30</v>
      </c>
      <c r="Z23" s="190" t="str">
        <f ca="1">uxb_ranking!CO27</f>
        <v>new</v>
      </c>
      <c r="AA23" s="186">
        <f ca="1">uxb_ranking!CV27</f>
        <v>0</v>
      </c>
      <c r="AC23" s="186">
        <f ca="1">uxb_ranking!DK27</f>
        <v>0</v>
      </c>
      <c r="AD23" s="13" t="str">
        <f ca="1">uxb_ranking!DD27</f>
        <v/>
      </c>
      <c r="AE23" s="190">
        <f ca="1">IF($A23=0,"",uxb_ranking!BG27)</f>
        <v>20</v>
      </c>
      <c r="AF23" s="14" t="str">
        <f ca="1">uxb_ranking!AL27</f>
        <v>Jamaica</v>
      </c>
      <c r="AG23" s="20">
        <f ca="1">uxb_ranking!AS27</f>
        <v>0</v>
      </c>
      <c r="AH23" s="190" t="str">
        <f ca="1">uxb_ranking!CP27</f>
        <v>new</v>
      </c>
      <c r="AI23" s="186">
        <f ca="1">uxb_ranking!CW27</f>
        <v>0</v>
      </c>
    </row>
  </sheetData>
  <phoneticPr fontId="59" type="noConversion"/>
  <conditionalFormatting sqref="F4:F23 AF4:AF23 X4:X23 N4:N23">
    <cfRule type="expression" dxfId="104" priority="35" stopIfTrue="1">
      <formula>$A4=0</formula>
    </cfRule>
    <cfRule type="cellIs" dxfId="103" priority="36" stopIfTrue="1" operator="equal">
      <formula>$A$2</formula>
    </cfRule>
  </conditionalFormatting>
  <conditionalFormatting sqref="G4:G23 O4:O23 Y4:Y23 AG4:AG23">
    <cfRule type="expression" dxfId="102" priority="17">
      <formula>F4=$A$2</formula>
    </cfRule>
  </conditionalFormatting>
  <conditionalFormatting sqref="E4:E23 M4:M23 W4:W23 AE4:AE23">
    <cfRule type="expression" dxfId="101" priority="31" stopIfTrue="1">
      <formula>$A4=0</formula>
    </cfRule>
    <cfRule type="expression" dxfId="100" priority="32" stopIfTrue="1">
      <formula>$A$2=F4</formula>
    </cfRule>
  </conditionalFormatting>
  <conditionalFormatting sqref="D3:H3">
    <cfRule type="expression" dxfId="99" priority="30" stopIfTrue="1">
      <formula>$A$2=2</formula>
    </cfRule>
  </conditionalFormatting>
  <conditionalFormatting sqref="D4:D23 L4:L23 V4:V23 AD4:AD23">
    <cfRule type="expression" dxfId="98" priority="66" stopIfTrue="1">
      <formula>$A$2=F4</formula>
    </cfRule>
    <cfRule type="expression" dxfId="97" priority="67" stopIfTrue="1">
      <formula>C4=1</formula>
    </cfRule>
    <cfRule type="expression" dxfId="96" priority="68" stopIfTrue="1">
      <formula>C4=-1</formula>
    </cfRule>
  </conditionalFormatting>
  <conditionalFormatting sqref="H4:H23 P4:P23 Z4:Z23 AH4:AH23">
    <cfRule type="expression" dxfId="95" priority="78" stopIfTrue="1">
      <formula>$A$2=F4</formula>
    </cfRule>
    <cfRule type="expression" dxfId="94" priority="79" stopIfTrue="1">
      <formula>I4=1</formula>
    </cfRule>
    <cfRule type="expression" dxfId="93" priority="80" stopIfTrue="1">
      <formula>I4=-1</formula>
    </cfRule>
  </conditionalFormatting>
  <pageMargins left="0.74803149606299213" right="0.74803149606299213" top="0.59055118110236227" bottom="0.59055118110236227" header="0.51181102362204722" footer="0.51181102362204722"/>
  <pageSetup scale="85"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sheetPr codeName="Sheet4">
    <pageSetUpPr fitToPage="1"/>
  </sheetPr>
  <dimension ref="A1:CC23"/>
  <sheetViews>
    <sheetView showGridLines="0" showRowColHeaders="0" workbookViewId="0"/>
  </sheetViews>
  <sheetFormatPr defaultRowHeight="12.75"/>
  <cols>
    <col min="1" max="1" width="2.140625" customWidth="1"/>
    <col min="2" max="2" width="5.42578125" customWidth="1"/>
    <col min="3" max="3" width="3" bestFit="1" customWidth="1"/>
    <col min="4" max="4" width="14.7109375" bestFit="1" customWidth="1"/>
    <col min="6" max="6" width="5.85546875" customWidth="1"/>
    <col min="7" max="7" width="3.42578125" customWidth="1"/>
    <col min="8" max="8" width="14.7109375" bestFit="1" customWidth="1"/>
    <col min="10" max="10" width="5.42578125" customWidth="1"/>
    <col min="11" max="11" width="3.42578125" customWidth="1"/>
    <col min="12" max="12" width="14.7109375" bestFit="1" customWidth="1"/>
    <col min="14" max="14" width="6" customWidth="1"/>
    <col min="15" max="15" width="3.7109375" customWidth="1"/>
    <col min="16" max="16" width="14.7109375" bestFit="1" customWidth="1"/>
  </cols>
  <sheetData>
    <row r="1" spans="1:81" s="9" customFormat="1" ht="21" customHeight="1">
      <c r="A1" s="21" t="s">
        <v>178</v>
      </c>
      <c r="B1" s="7"/>
      <c r="C1" s="7"/>
      <c r="D1" s="7"/>
      <c r="E1" s="7"/>
      <c r="F1" s="7"/>
      <c r="G1" s="7"/>
      <c r="H1" s="7"/>
      <c r="I1" s="7"/>
      <c r="J1" s="7"/>
      <c r="K1" s="7"/>
      <c r="L1" s="7"/>
      <c r="M1" s="7"/>
      <c r="N1" s="7"/>
      <c r="O1" s="7"/>
      <c r="P1" s="7"/>
      <c r="Q1" s="7"/>
      <c r="R1" s="8"/>
      <c r="S1" s="7"/>
      <c r="T1" s="7"/>
      <c r="V1" s="7"/>
      <c r="W1" s="7"/>
      <c r="Y1" s="7"/>
      <c r="Z1" s="7"/>
      <c r="AP1" s="10"/>
      <c r="AQ1" s="10"/>
      <c r="AR1" s="10"/>
      <c r="AS1" s="10"/>
      <c r="AV1" s="11"/>
      <c r="AW1" s="11"/>
      <c r="AX1" s="11"/>
      <c r="AY1" s="11"/>
      <c r="AZ1" s="11"/>
      <c r="BA1" s="11"/>
      <c r="BB1" s="11"/>
      <c r="BC1" s="11"/>
      <c r="BD1" s="11"/>
      <c r="BE1" s="11"/>
      <c r="BG1" s="11"/>
      <c r="BH1" s="11"/>
      <c r="BI1" s="11"/>
      <c r="BJ1" s="11"/>
      <c r="BK1" s="11"/>
      <c r="BL1" s="11"/>
      <c r="BM1" s="11"/>
      <c r="BN1" s="11"/>
      <c r="BO1" s="11"/>
      <c r="BP1" s="11"/>
      <c r="BQ1" s="11"/>
      <c r="BS1" s="11"/>
      <c r="BT1" s="11"/>
      <c r="BU1" s="11"/>
      <c r="BV1" s="11"/>
      <c r="BW1" s="11"/>
      <c r="BX1" s="11"/>
      <c r="BY1" s="11"/>
      <c r="BZ1" s="11"/>
      <c r="CA1" s="11"/>
      <c r="CB1" s="11"/>
      <c r="CC1" s="11"/>
    </row>
    <row r="2" spans="1:81" ht="8.25" customHeight="1">
      <c r="A2" s="106" t="str">
        <f ca="1">uxb_globals!B5</f>
        <v>Peru</v>
      </c>
      <c r="B2" s="106"/>
    </row>
    <row r="3" spans="1:81" ht="18" customHeight="1">
      <c r="A3" s="106"/>
      <c r="B3" s="106"/>
      <c r="C3" s="111" t="s">
        <v>484</v>
      </c>
      <c r="D3" s="12"/>
      <c r="E3" s="12"/>
      <c r="G3" s="110" t="str">
        <f ca="1">uxb_scores_2007!C4</f>
        <v xml:space="preserve">Regulatory Framework </v>
      </c>
      <c r="H3" s="17"/>
      <c r="I3" s="18"/>
      <c r="K3" s="110" t="str">
        <f ca="1">uxb_scores_2007!C5</f>
        <v>Investment Climate</v>
      </c>
      <c r="L3" s="17"/>
      <c r="M3" s="18"/>
      <c r="O3" s="110" t="str">
        <f ca="1">uxb_scores_2007!C6</f>
        <v>Institutional Development</v>
      </c>
      <c r="P3" s="17"/>
      <c r="Q3" s="18"/>
    </row>
    <row r="4" spans="1:81" ht="15.95" customHeight="1">
      <c r="A4" s="106">
        <v>1</v>
      </c>
      <c r="B4" s="106"/>
      <c r="C4" s="13">
        <f ca="1">IF(A4=0,"",uxb_ranking!BD8)</f>
        <v>1</v>
      </c>
      <c r="D4" s="14" t="str">
        <f ca="1">uxb_ranking!AI8</f>
        <v>Peru</v>
      </c>
      <c r="E4" s="15">
        <f ca="1">uxb_ranking!AP8</f>
        <v>76.599999999999994</v>
      </c>
      <c r="G4" s="13" t="str">
        <f ca="1">IF($A4=0,"",uxb_ranking!$BE8)</f>
        <v>=1</v>
      </c>
      <c r="H4" s="14" t="str">
        <f ca="1">uxb_ranking!AJ8</f>
        <v>Bolivia</v>
      </c>
      <c r="I4" s="20">
        <f ca="1">uxb_ranking!AQ8</f>
        <v>87.5</v>
      </c>
      <c r="K4" s="13">
        <f ca="1">IF($A4=0,"",uxb_ranking!$BF8)</f>
        <v>1</v>
      </c>
      <c r="L4" s="14" t="str">
        <f ca="1">uxb_ranking!AK8</f>
        <v>Chile</v>
      </c>
      <c r="M4" s="20">
        <f ca="1">uxb_ranking!AR8</f>
        <v>74.2</v>
      </c>
      <c r="O4" s="13">
        <f ca="1">IF($A4=0,"",uxb_ranking!$BG8)</f>
        <v>1</v>
      </c>
      <c r="P4" s="14" t="str">
        <f ca="1">uxb_ranking!AL8</f>
        <v>Ecuador</v>
      </c>
      <c r="Q4" s="20">
        <f ca="1">uxb_ranking!AS8</f>
        <v>83.3</v>
      </c>
    </row>
    <row r="5" spans="1:81" ht="15.95" customHeight="1">
      <c r="A5" s="106">
        <v>1</v>
      </c>
      <c r="B5" s="106"/>
      <c r="C5" s="13">
        <f ca="1">IF(A5=0,"",uxb_ranking!BD9)</f>
        <v>2</v>
      </c>
      <c r="D5" s="14" t="str">
        <f ca="1">uxb_ranking!AI9</f>
        <v>Bolivia</v>
      </c>
      <c r="E5" s="15">
        <f ca="1">uxb_ranking!AP9</f>
        <v>74.400000000000006</v>
      </c>
      <c r="G5" s="13" t="str">
        <f ca="1">IF($A5=0,"",uxb_ranking!$BE9)</f>
        <v>=1</v>
      </c>
      <c r="H5" s="14" t="str">
        <f ca="1">uxb_ranking!AJ9</f>
        <v>Peru</v>
      </c>
      <c r="I5" s="20">
        <f ca="1">uxb_ranking!AQ9</f>
        <v>87.5</v>
      </c>
      <c r="K5" s="13">
        <f ca="1">IF($A5=0,"",uxb_ranking!$BF9)</f>
        <v>2</v>
      </c>
      <c r="L5" s="14" t="str">
        <f ca="1">uxb_ranking!AK9</f>
        <v>Costa Rica</v>
      </c>
      <c r="M5" s="20">
        <f ca="1">uxb_ranking!AR9</f>
        <v>59.7</v>
      </c>
      <c r="O5" s="13" t="str">
        <f ca="1">IF($A5=0,"",uxb_ranking!$BG9)</f>
        <v>=2</v>
      </c>
      <c r="P5" s="14" t="str">
        <f ca="1">uxb_ranking!AL9</f>
        <v>Bolivia</v>
      </c>
      <c r="Q5" s="20">
        <f ca="1">uxb_ranking!AS9</f>
        <v>75</v>
      </c>
    </row>
    <row r="6" spans="1:81" ht="15.95" customHeight="1">
      <c r="A6" s="106">
        <v>1</v>
      </c>
      <c r="B6" s="106"/>
      <c r="C6" s="13">
        <f ca="1">IF(A6=0,"",uxb_ranking!BD10)</f>
        <v>3</v>
      </c>
      <c r="D6" s="14" t="str">
        <f ca="1">uxb_ranking!AI10</f>
        <v>Ecuador</v>
      </c>
      <c r="E6" s="15">
        <f ca="1">uxb_ranking!AP10</f>
        <v>69.7</v>
      </c>
      <c r="G6" s="13">
        <f ca="1">IF($A6=0,"",uxb_ranking!$BE10)</f>
        <v>3</v>
      </c>
      <c r="H6" s="14" t="str">
        <f ca="1">uxb_ranking!AJ10</f>
        <v>Ecuador</v>
      </c>
      <c r="I6" s="20">
        <f ca="1">uxb_ranking!AQ10</f>
        <v>75</v>
      </c>
      <c r="K6" s="13" t="str">
        <f ca="1">IF($A6=0,"",uxb_ranking!$BF10)</f>
        <v>=3</v>
      </c>
      <c r="L6" s="14" t="str">
        <f ca="1">uxb_ranking!AK10</f>
        <v>Mexico</v>
      </c>
      <c r="M6" s="20">
        <f ca="1">uxb_ranking!AR10</f>
        <v>58.3</v>
      </c>
      <c r="O6" s="13" t="str">
        <f ca="1">IF($A6=0,"",uxb_ranking!$BG10)</f>
        <v>=2</v>
      </c>
      <c r="P6" s="14" t="str">
        <f ca="1">uxb_ranking!AL10</f>
        <v>Peru</v>
      </c>
      <c r="Q6" s="20">
        <f ca="1">uxb_ranking!AS10</f>
        <v>75</v>
      </c>
    </row>
    <row r="7" spans="1:81" ht="15.95" customHeight="1">
      <c r="A7" s="106">
        <v>1</v>
      </c>
      <c r="B7" s="106"/>
      <c r="C7" s="13">
        <f ca="1">IF(A7=0,"",uxb_ranking!BD11)</f>
        <v>4</v>
      </c>
      <c r="D7" s="14" t="str">
        <f ca="1">uxb_ranking!AI11</f>
        <v>El Salvador</v>
      </c>
      <c r="E7" s="15">
        <f ca="1">uxb_ranking!AP11</f>
        <v>59</v>
      </c>
      <c r="G7" s="13" t="str">
        <f ca="1">IF($A7=0,"",uxb_ranking!$BE11)</f>
        <v>=4</v>
      </c>
      <c r="H7" s="14" t="str">
        <f ca="1">uxb_ranking!AJ11</f>
        <v>Colombia</v>
      </c>
      <c r="I7" s="20">
        <f ca="1">uxb_ranking!AQ11</f>
        <v>62.5</v>
      </c>
      <c r="K7" s="13" t="str">
        <f ca="1">IF($A7=0,"",uxb_ranking!$BF11)</f>
        <v>=3</v>
      </c>
      <c r="L7" s="14" t="str">
        <f ca="1">uxb_ranking!AK11</f>
        <v>Panama</v>
      </c>
      <c r="M7" s="20">
        <f ca="1">uxb_ranking!AR11</f>
        <v>58.3</v>
      </c>
      <c r="O7" s="13" t="str">
        <f ca="1">IF($A7=0,"",uxb_ranking!$BG11)</f>
        <v>=4</v>
      </c>
      <c r="P7" s="14" t="str">
        <f ca="1">uxb_ranking!AL11</f>
        <v>El Salvador</v>
      </c>
      <c r="Q7" s="20">
        <f ca="1">uxb_ranking!AS11</f>
        <v>66.7</v>
      </c>
    </row>
    <row r="8" spans="1:81" ht="15.95" customHeight="1">
      <c r="A8" s="106">
        <v>1</v>
      </c>
      <c r="B8" s="106"/>
      <c r="C8" s="13">
        <f ca="1">IF(A8=0,"",uxb_ranking!BD12)</f>
        <v>5</v>
      </c>
      <c r="D8" s="14" t="str">
        <f ca="1">uxb_ranking!AI12</f>
        <v>Colombia</v>
      </c>
      <c r="E8" s="15">
        <f ca="1">uxb_ranking!AP12</f>
        <v>58.6</v>
      </c>
      <c r="G8" s="13" t="str">
        <f ca="1">IF($A8=0,"",uxb_ranking!$BE12)</f>
        <v>=4</v>
      </c>
      <c r="H8" s="14" t="str">
        <f ca="1">uxb_ranking!AJ12</f>
        <v>Paraguay</v>
      </c>
      <c r="I8" s="20">
        <f ca="1">uxb_ranking!AQ12</f>
        <v>62.5</v>
      </c>
      <c r="K8" s="13">
        <f ca="1">IF($A8=0,"",uxb_ranking!$BF12)</f>
        <v>5</v>
      </c>
      <c r="L8" s="14" t="str">
        <f ca="1">uxb_ranking!AK12</f>
        <v>Peru</v>
      </c>
      <c r="M8" s="20">
        <f ca="1">uxb_ranking!AR12</f>
        <v>58</v>
      </c>
      <c r="O8" s="13" t="str">
        <f ca="1">IF($A8=0,"",uxb_ranking!$BG12)</f>
        <v>=4</v>
      </c>
      <c r="P8" s="14" t="str">
        <f ca="1">uxb_ranking!AL12</f>
        <v>Nicaragua</v>
      </c>
      <c r="Q8" s="20">
        <f ca="1">uxb_ranking!AS12</f>
        <v>66.7</v>
      </c>
    </row>
    <row r="9" spans="1:81" ht="15.95" customHeight="1">
      <c r="A9" s="106">
        <v>1</v>
      </c>
      <c r="B9" s="106"/>
      <c r="C9" s="13">
        <f ca="1">IF(A9=0,"",uxb_ranking!BD13)</f>
        <v>6</v>
      </c>
      <c r="D9" s="14" t="str">
        <f ca="1">uxb_ranking!AI13</f>
        <v>Nicaragua</v>
      </c>
      <c r="E9" s="15">
        <f ca="1">uxb_ranking!AP13</f>
        <v>58</v>
      </c>
      <c r="G9" s="13" t="str">
        <f ca="1">IF($A9=0,"",uxb_ranking!$BE13)</f>
        <v>=6</v>
      </c>
      <c r="H9" s="14" t="str">
        <f ca="1">uxb_ranking!AJ13</f>
        <v>El Salvador</v>
      </c>
      <c r="I9" s="20">
        <f ca="1">uxb_ranking!AQ13</f>
        <v>56.3</v>
      </c>
      <c r="K9" s="13">
        <f ca="1">IF($A9=0,"",uxb_ranking!$BF13)</f>
        <v>6</v>
      </c>
      <c r="L9" s="14" t="str">
        <f ca="1">uxb_ranking!AK13</f>
        <v>Jamaica</v>
      </c>
      <c r="M9" s="20">
        <f ca="1">uxb_ranking!AR13</f>
        <v>55.8</v>
      </c>
      <c r="O9" s="13" t="str">
        <f ca="1">IF($A9=0,"",uxb_ranking!$BG13)</f>
        <v>=6</v>
      </c>
      <c r="P9" s="14" t="str">
        <f ca="1">uxb_ranking!AL13</f>
        <v>Colombia</v>
      </c>
      <c r="Q9" s="20">
        <f ca="1">uxb_ranking!AS13</f>
        <v>58.3</v>
      </c>
    </row>
    <row r="10" spans="1:81" ht="15.95" customHeight="1">
      <c r="A10" s="106">
        <v>1</v>
      </c>
      <c r="B10" s="106"/>
      <c r="C10" s="13">
        <f ca="1">IF(A10=0,"",uxb_ranking!BD14)</f>
        <v>7</v>
      </c>
      <c r="D10" s="14" t="str">
        <f ca="1">uxb_ranking!AI14</f>
        <v>Guatemala</v>
      </c>
      <c r="E10" s="15">
        <f ca="1">uxb_ranking!AP14</f>
        <v>54</v>
      </c>
      <c r="G10" s="13" t="str">
        <f ca="1">IF($A10=0,"",uxb_ranking!$BE14)</f>
        <v>=6</v>
      </c>
      <c r="H10" s="14" t="str">
        <f ca="1">uxb_ranking!AJ14</f>
        <v>Guatemala</v>
      </c>
      <c r="I10" s="20">
        <f ca="1">uxb_ranking!AQ14</f>
        <v>56.3</v>
      </c>
      <c r="K10" s="13">
        <f ca="1">IF($A10=0,"",uxb_ranking!$BF14)</f>
        <v>7</v>
      </c>
      <c r="L10" s="14" t="str">
        <f ca="1">uxb_ranking!AK14</f>
        <v>Brazil</v>
      </c>
      <c r="M10" s="20">
        <f ca="1">uxb_ranking!AR14</f>
        <v>53.6</v>
      </c>
      <c r="O10" s="13" t="str">
        <f ca="1">IF($A10=0,"",uxb_ranking!$BG14)</f>
        <v>=6</v>
      </c>
      <c r="P10" s="14" t="str">
        <f ca="1">uxb_ranking!AL14</f>
        <v>Guatemala</v>
      </c>
      <c r="Q10" s="20">
        <f ca="1">uxb_ranking!AS14</f>
        <v>58.3</v>
      </c>
    </row>
    <row r="11" spans="1:81" ht="15.95" customHeight="1">
      <c r="A11" s="106">
        <v>1</v>
      </c>
      <c r="B11" s="106"/>
      <c r="C11" s="13">
        <f ca="1">IF(A11=0,"",uxb_ranking!BD15)</f>
        <v>8</v>
      </c>
      <c r="D11" s="14" t="str">
        <f ca="1">uxb_ranking!AI15</f>
        <v>Paraguay</v>
      </c>
      <c r="E11" s="15">
        <f ca="1">uxb_ranking!AP15</f>
        <v>49.6</v>
      </c>
      <c r="G11" s="13" t="str">
        <f ca="1">IF($A11=0,"",uxb_ranking!$BE15)</f>
        <v>=6</v>
      </c>
      <c r="H11" s="14" t="str">
        <f ca="1">uxb_ranking!AJ15</f>
        <v>Mexico</v>
      </c>
      <c r="I11" s="20">
        <f ca="1">uxb_ranking!AQ15</f>
        <v>56.3</v>
      </c>
      <c r="K11" s="13">
        <f ca="1">IF($A11=0,"",uxb_ranking!$BF15)</f>
        <v>8</v>
      </c>
      <c r="L11" s="14" t="str">
        <f ca="1">uxb_ranking!AK15</f>
        <v>Colombia</v>
      </c>
      <c r="M11" s="20">
        <f ca="1">uxb_ranking!AR15</f>
        <v>51.4</v>
      </c>
      <c r="O11" s="13" t="str">
        <f ca="1">IF($A11=0,"",uxb_ranking!$BG15)</f>
        <v>=8</v>
      </c>
      <c r="P11" s="14" t="str">
        <f ca="1">uxb_ranking!AL15</f>
        <v>Dominican Rep</v>
      </c>
      <c r="Q11" s="20">
        <f ca="1">uxb_ranking!AS15</f>
        <v>50</v>
      </c>
    </row>
    <row r="12" spans="1:81" ht="15.95" customHeight="1">
      <c r="A12" s="106">
        <v>1</v>
      </c>
      <c r="B12" s="106"/>
      <c r="C12" s="13">
        <f ca="1">IF(A12=0,"",uxb_ranking!BD16)</f>
        <v>9</v>
      </c>
      <c r="D12" s="14" t="str">
        <f ca="1">uxb_ranking!AI16</f>
        <v>Dominican Rep</v>
      </c>
      <c r="E12" s="15">
        <f ca="1">uxb_ranking!AP16</f>
        <v>48</v>
      </c>
      <c r="G12" s="13" t="str">
        <f ca="1">IF($A12=0,"",uxb_ranking!$BE16)</f>
        <v>=6</v>
      </c>
      <c r="H12" s="14" t="str">
        <f ca="1">uxb_ranking!AJ16</f>
        <v>Nicaragua</v>
      </c>
      <c r="I12" s="20">
        <f ca="1">uxb_ranking!AQ16</f>
        <v>56.3</v>
      </c>
      <c r="K12" s="13">
        <f ca="1">IF($A12=0,"",uxb_ranking!$BF16)</f>
        <v>9</v>
      </c>
      <c r="L12" s="14" t="str">
        <f ca="1">uxb_ranking!AK16</f>
        <v>El Salvador</v>
      </c>
      <c r="M12" s="20">
        <f ca="1">uxb_ranking!AR16</f>
        <v>49.2</v>
      </c>
      <c r="O12" s="13" t="str">
        <f ca="1">IF($A12=0,"",uxb_ranking!$BG16)</f>
        <v>=8</v>
      </c>
      <c r="P12" s="14" t="str">
        <f ca="1">uxb_ranking!AL16</f>
        <v>Honduras</v>
      </c>
      <c r="Q12" s="20">
        <f ca="1">uxb_ranking!AS16</f>
        <v>50</v>
      </c>
    </row>
    <row r="13" spans="1:81" ht="15.95" customHeight="1">
      <c r="A13" s="106">
        <v>1</v>
      </c>
      <c r="B13" s="106"/>
      <c r="C13" s="13" t="str">
        <f ca="1">IF(A13=0,"",uxb_ranking!BD17)</f>
        <v>=10</v>
      </c>
      <c r="D13" s="14" t="str">
        <f ca="1">uxb_ranking!AI17</f>
        <v>Mexico</v>
      </c>
      <c r="E13" s="15">
        <f ca="1">uxb_ranking!AP17</f>
        <v>47.5</v>
      </c>
      <c r="G13" s="13" t="str">
        <f ca="1">IF($A13=0,"",uxb_ranking!$BE17)</f>
        <v>=6</v>
      </c>
      <c r="H13" s="14" t="str">
        <f ca="1">uxb_ranking!AJ17</f>
        <v>Panama</v>
      </c>
      <c r="I13" s="20">
        <f ca="1">uxb_ranking!AQ17</f>
        <v>56.3</v>
      </c>
      <c r="K13" s="13">
        <f ca="1">IF($A13=0,"",uxb_ranking!$BF17)</f>
        <v>10</v>
      </c>
      <c r="L13" s="14" t="str">
        <f ca="1">uxb_ranking!AK17</f>
        <v>Bolivia</v>
      </c>
      <c r="M13" s="20">
        <f ca="1">uxb_ranking!AR17</f>
        <v>46.9</v>
      </c>
      <c r="O13" s="13">
        <f ca="1">IF($A13=0,"",uxb_ranking!$BG17)</f>
        <v>10</v>
      </c>
      <c r="P13" s="14" t="str">
        <f ca="1">uxb_ranking!AL17</f>
        <v>Paraguay</v>
      </c>
      <c r="Q13" s="20">
        <f ca="1">uxb_ranking!AS17</f>
        <v>41.7</v>
      </c>
    </row>
    <row r="14" spans="1:81" ht="15.95" customHeight="1">
      <c r="A14" s="106">
        <v>1</v>
      </c>
      <c r="B14" s="106"/>
      <c r="C14" s="13" t="str">
        <f ca="1">IF(A14=0,"",uxb_ranking!BD18)</f>
        <v>=10</v>
      </c>
      <c r="D14" s="14" t="str">
        <f ca="1">uxb_ranking!AI18</f>
        <v>Panama</v>
      </c>
      <c r="E14" s="15">
        <f ca="1">uxb_ranking!AP18</f>
        <v>47.5</v>
      </c>
      <c r="G14" s="13" t="str">
        <f ca="1">IF($A14=0,"",uxb_ranking!$BE18)</f>
        <v>=11</v>
      </c>
      <c r="H14" s="14" t="str">
        <f ca="1">uxb_ranking!AJ18</f>
        <v>Dominican Rep</v>
      </c>
      <c r="I14" s="20">
        <f ca="1">uxb_ranking!AQ18</f>
        <v>50</v>
      </c>
      <c r="K14" s="13">
        <f ca="1">IF($A14=0,"",uxb_ranking!$BF18)</f>
        <v>11</v>
      </c>
      <c r="L14" s="14" t="str">
        <f ca="1">uxb_ranking!AK18</f>
        <v>Uruguay</v>
      </c>
      <c r="M14" s="20">
        <f ca="1">uxb_ranking!AR18</f>
        <v>45.8</v>
      </c>
      <c r="O14" s="13" t="str">
        <f ca="1">IF($A14=0,"",uxb_ranking!$BG18)</f>
        <v>=11</v>
      </c>
      <c r="P14" s="14" t="str">
        <f ca="1">uxb_ranking!AL18</f>
        <v>Argentina</v>
      </c>
      <c r="Q14" s="20">
        <f ca="1">uxb_ranking!AS18</f>
        <v>33.299999999999997</v>
      </c>
    </row>
    <row r="15" spans="1:81" ht="15.95" customHeight="1">
      <c r="A15" s="106">
        <v>1</v>
      </c>
      <c r="B15" s="106"/>
      <c r="C15" s="13">
        <f ca="1">IF(A15=0,"",uxb_ranking!BD19)</f>
        <v>12</v>
      </c>
      <c r="D15" s="14" t="str">
        <f ca="1">uxb_ranking!AI19</f>
        <v>Honduras</v>
      </c>
      <c r="E15" s="15">
        <f ca="1">uxb_ranking!AP19</f>
        <v>47.1</v>
      </c>
      <c r="G15" s="13" t="str">
        <f ca="1">IF($A15=0,"",uxb_ranking!$BE19)</f>
        <v>=11</v>
      </c>
      <c r="H15" s="14" t="str">
        <f ca="1">uxb_ranking!AJ19</f>
        <v>Honduras</v>
      </c>
      <c r="I15" s="20">
        <f ca="1">uxb_ranking!AQ19</f>
        <v>50</v>
      </c>
      <c r="K15" s="13">
        <f ca="1">IF($A15=0,"",uxb_ranking!$BF19)</f>
        <v>12</v>
      </c>
      <c r="L15" s="14" t="str">
        <f ca="1">uxb_ranking!AK19</f>
        <v>Nicaragua</v>
      </c>
      <c r="M15" s="20">
        <f ca="1">uxb_ranking!AR19</f>
        <v>44.2</v>
      </c>
      <c r="O15" s="13" t="str">
        <f ca="1">IF($A15=0,"",uxb_ranking!$BG19)</f>
        <v>=11</v>
      </c>
      <c r="P15" s="14" t="str">
        <f ca="1">uxb_ranking!AL19</f>
        <v>Brazil</v>
      </c>
      <c r="Q15" s="20">
        <f ca="1">uxb_ranking!AS19</f>
        <v>33.299999999999997</v>
      </c>
    </row>
    <row r="16" spans="1:81" ht="15.95" customHeight="1">
      <c r="A16" s="106">
        <v>1</v>
      </c>
      <c r="B16" s="106"/>
      <c r="C16" s="13">
        <f ca="1">IF(A16=0,"",uxb_ranking!BD20)</f>
        <v>13</v>
      </c>
      <c r="D16" s="14" t="str">
        <f ca="1">uxb_ranking!AI20</f>
        <v>Chile</v>
      </c>
      <c r="E16" s="15">
        <f ca="1">uxb_ranking!AP20</f>
        <v>43.2</v>
      </c>
      <c r="G16" s="13" t="str">
        <f ca="1">IF($A16=0,"",uxb_ranking!$BE20)</f>
        <v>=13</v>
      </c>
      <c r="H16" s="14" t="str">
        <f ca="1">uxb_ranking!AJ20</f>
        <v>Brazil</v>
      </c>
      <c r="I16" s="20">
        <f ca="1">uxb_ranking!AQ20</f>
        <v>43.8</v>
      </c>
      <c r="K16" s="13">
        <f ca="1">IF($A16=0,"",uxb_ranking!$BF20)</f>
        <v>13</v>
      </c>
      <c r="L16" s="14" t="str">
        <f ca="1">uxb_ranking!AK20</f>
        <v>Venezuela</v>
      </c>
      <c r="M16" s="20">
        <f ca="1">uxb_ranking!AR20</f>
        <v>41.4</v>
      </c>
      <c r="O16" s="13" t="str">
        <f ca="1">IF($A16=0,"",uxb_ranking!$BG20)</f>
        <v>=11</v>
      </c>
      <c r="P16" s="14" t="str">
        <f ca="1">uxb_ranking!AL20</f>
        <v>Chile</v>
      </c>
      <c r="Q16" s="20">
        <f ca="1">uxb_ranking!AS20</f>
        <v>33.299999999999997</v>
      </c>
    </row>
    <row r="17" spans="1:17" ht="15.95" customHeight="1">
      <c r="A17" s="106">
        <v>1</v>
      </c>
      <c r="B17" s="106"/>
      <c r="C17" s="13">
        <f ca="1">IF(A17=0,"",uxb_ranking!BD21)</f>
        <v>14</v>
      </c>
      <c r="D17" s="14" t="str">
        <f ca="1">uxb_ranking!AI21</f>
        <v>Brazil</v>
      </c>
      <c r="E17" s="15">
        <f ca="1">uxb_ranking!AP21</f>
        <v>41.6</v>
      </c>
      <c r="G17" s="13" t="str">
        <f ca="1">IF($A17=0,"",uxb_ranking!$BE21)</f>
        <v>=13</v>
      </c>
      <c r="H17" s="14" t="str">
        <f ca="1">uxb_ranking!AJ21</f>
        <v>Haiti</v>
      </c>
      <c r="I17" s="20">
        <f ca="1">uxb_ranking!AQ21</f>
        <v>43.8</v>
      </c>
      <c r="K17" s="13">
        <f ca="1">IF($A17=0,"",uxb_ranking!$BF21)</f>
        <v>14</v>
      </c>
      <c r="L17" s="14" t="str">
        <f ca="1">uxb_ranking!AK21</f>
        <v>Guatemala</v>
      </c>
      <c r="M17" s="20">
        <f ca="1">uxb_ranking!AR21</f>
        <v>40.799999999999997</v>
      </c>
      <c r="O17" s="13" t="str">
        <f ca="1">IF($A17=0,"",uxb_ranking!$BG21)</f>
        <v>=11</v>
      </c>
      <c r="P17" s="14" t="str">
        <f ca="1">uxb_ranking!AL21</f>
        <v>Costa Rica</v>
      </c>
      <c r="Q17" s="20">
        <f ca="1">uxb_ranking!AS21</f>
        <v>33.299999999999997</v>
      </c>
    </row>
    <row r="18" spans="1:17" ht="15.95" customHeight="1">
      <c r="A18" s="106">
        <v>1</v>
      </c>
      <c r="B18" s="106"/>
      <c r="C18" s="13">
        <f ca="1">IF(A18=0,"",uxb_ranking!BD22)</f>
        <v>15</v>
      </c>
      <c r="D18" s="14" t="str">
        <f ca="1">uxb_ranking!AI22</f>
        <v>Costa Rica</v>
      </c>
      <c r="E18" s="15">
        <f ca="1">uxb_ranking!AP22</f>
        <v>40.299999999999997</v>
      </c>
      <c r="G18" s="13" t="str">
        <f ca="1">IF($A18=0,"",uxb_ranking!$BE22)</f>
        <v>=15</v>
      </c>
      <c r="H18" s="14" t="str">
        <f ca="1">uxb_ranking!AJ22</f>
        <v>Chile</v>
      </c>
      <c r="I18" s="20">
        <f ca="1">uxb_ranking!AQ22</f>
        <v>37.5</v>
      </c>
      <c r="K18" s="13">
        <f ca="1">IF($A18=0,"",uxb_ranking!$BF22)</f>
        <v>15</v>
      </c>
      <c r="L18" s="14" t="str">
        <f ca="1">uxb_ranking!AK22</f>
        <v>Dominican Rep</v>
      </c>
      <c r="M18" s="20">
        <f ca="1">uxb_ranking!AR22</f>
        <v>40</v>
      </c>
      <c r="O18" s="13" t="str">
        <f ca="1">IF($A18=0,"",uxb_ranking!$BG22)</f>
        <v>=11</v>
      </c>
      <c r="P18" s="14" t="str">
        <f ca="1">uxb_ranking!AL22</f>
        <v>Mexico</v>
      </c>
      <c r="Q18" s="20">
        <f ca="1">uxb_ranking!AS22</f>
        <v>33.299999999999997</v>
      </c>
    </row>
    <row r="19" spans="1:17" ht="15.95" customHeight="1">
      <c r="A19" s="106">
        <v>1</v>
      </c>
      <c r="B19" s="106"/>
      <c r="C19" s="13">
        <f ca="1">IF(A19=0,"",uxb_ranking!BD23)</f>
        <v>16</v>
      </c>
      <c r="D19" s="14" t="str">
        <f ca="1">uxb_ranking!AI23</f>
        <v>Haiti</v>
      </c>
      <c r="E19" s="15">
        <f ca="1">uxb_ranking!AP23</f>
        <v>30.2</v>
      </c>
      <c r="G19" s="13" t="str">
        <f ca="1">IF($A19=0,"",uxb_ranking!$BE23)</f>
        <v>=15</v>
      </c>
      <c r="H19" s="14" t="str">
        <f ca="1">uxb_ranking!AJ23</f>
        <v>Costa Rica</v>
      </c>
      <c r="I19" s="20">
        <f ca="1">uxb_ranking!AQ23</f>
        <v>37.5</v>
      </c>
      <c r="K19" s="13">
        <f ca="1">IF($A19=0,"",uxb_ranking!$BF23)</f>
        <v>16</v>
      </c>
      <c r="L19" s="14" t="str">
        <f ca="1">uxb_ranking!AK23</f>
        <v>Paraguay</v>
      </c>
      <c r="M19" s="20">
        <f ca="1">uxb_ranking!AR23</f>
        <v>39.700000000000003</v>
      </c>
      <c r="O19" s="13" t="str">
        <f ca="1">IF($A19=0,"",uxb_ranking!$BG23)</f>
        <v>=11</v>
      </c>
      <c r="P19" s="14" t="str">
        <f ca="1">uxb_ranking!AL23</f>
        <v>Panama</v>
      </c>
      <c r="Q19" s="20">
        <f ca="1">uxb_ranking!AS23</f>
        <v>33.299999999999997</v>
      </c>
    </row>
    <row r="20" spans="1:17" ht="15.95" customHeight="1">
      <c r="A20" s="106">
        <v>1</v>
      </c>
      <c r="B20" s="106"/>
      <c r="C20" s="13">
        <f ca="1">IF(A20=0,"",uxb_ranking!BD24)</f>
        <v>17</v>
      </c>
      <c r="D20" s="14" t="str">
        <f ca="1">uxb_ranking!AI24</f>
        <v>Argentina</v>
      </c>
      <c r="E20" s="15">
        <f ca="1">uxb_ranking!AP24</f>
        <v>28.5</v>
      </c>
      <c r="G20" s="13">
        <f ca="1">IF($A20=0,"",uxb_ranking!$BE24)</f>
        <v>17</v>
      </c>
      <c r="H20" s="14" t="str">
        <f ca="1">uxb_ranking!AJ24</f>
        <v>Uruguay</v>
      </c>
      <c r="I20" s="20">
        <f ca="1">uxb_ranking!AQ24</f>
        <v>31.3</v>
      </c>
      <c r="K20" s="13">
        <f ca="1">IF($A20=0,"",uxb_ranking!$BF24)</f>
        <v>17</v>
      </c>
      <c r="L20" s="14" t="str">
        <f ca="1">uxb_ranking!AK24</f>
        <v>Argentina</v>
      </c>
      <c r="M20" s="20">
        <f ca="1">uxb_ranking!AR24</f>
        <v>38.299999999999997</v>
      </c>
      <c r="O20" s="13" t="str">
        <f ca="1">IF($A20=0,"",uxb_ranking!$BG24)</f>
        <v>=17</v>
      </c>
      <c r="P20" s="14" t="str">
        <f ca="1">uxb_ranking!AL24</f>
        <v>Haiti</v>
      </c>
      <c r="Q20" s="20">
        <f ca="1">uxb_ranking!AS24</f>
        <v>16.7</v>
      </c>
    </row>
    <row r="21" spans="1:17" ht="15.95" customHeight="1">
      <c r="A21" s="106">
        <v>1</v>
      </c>
      <c r="B21" s="106"/>
      <c r="C21" s="13">
        <f ca="1">IF(A21=0,"",uxb_ranking!BD25)</f>
        <v>18</v>
      </c>
      <c r="D21" s="14" t="str">
        <f ca="1">uxb_ranking!AI25</f>
        <v>Uruguay</v>
      </c>
      <c r="E21" s="15">
        <f ca="1">uxb_ranking!AP25</f>
        <v>28.3</v>
      </c>
      <c r="G21" s="13" t="str">
        <f ca="1">IF($A21=0,"",uxb_ranking!$BE25)</f>
        <v>=18</v>
      </c>
      <c r="H21" s="14" t="str">
        <f ca="1">uxb_ranking!AJ25</f>
        <v>Jamaica</v>
      </c>
      <c r="I21" s="20">
        <f ca="1">uxb_ranking!AQ25</f>
        <v>25</v>
      </c>
      <c r="K21" s="13">
        <f ca="1">IF($A21=0,"",uxb_ranking!$BF25)</f>
        <v>18</v>
      </c>
      <c r="L21" s="14" t="str">
        <f ca="1">uxb_ranking!AK25</f>
        <v>Honduras</v>
      </c>
      <c r="M21" s="20">
        <f ca="1">uxb_ranking!AR25</f>
        <v>35.5</v>
      </c>
      <c r="O21" s="13" t="str">
        <f ca="1">IF($A21=0,"",uxb_ranking!$BG25)</f>
        <v>=17</v>
      </c>
      <c r="P21" s="14" t="str">
        <f ca="1">uxb_ranking!AL25</f>
        <v>Uruguay</v>
      </c>
      <c r="Q21" s="20">
        <f ca="1">uxb_ranking!AS25</f>
        <v>16.7</v>
      </c>
    </row>
    <row r="22" spans="1:17" ht="15.95" customHeight="1">
      <c r="A22" s="106">
        <v>1</v>
      </c>
      <c r="B22" s="106"/>
      <c r="C22" s="13">
        <f ca="1">IF(A22=0,"",uxb_ranking!BD26)</f>
        <v>19</v>
      </c>
      <c r="D22" s="14" t="str">
        <f ca="1">uxb_ranking!AI26</f>
        <v>Venezuela</v>
      </c>
      <c r="E22" s="15">
        <f ca="1">uxb_ranking!AP26</f>
        <v>24.9</v>
      </c>
      <c r="G22" s="13" t="str">
        <f ca="1">IF($A22=0,"",uxb_ranking!$BE26)</f>
        <v>=18</v>
      </c>
      <c r="H22" s="14" t="str">
        <f ca="1">uxb_ranking!AJ26</f>
        <v>Venezuela</v>
      </c>
      <c r="I22" s="20">
        <f ca="1">uxb_ranking!AQ26</f>
        <v>25</v>
      </c>
      <c r="K22" s="13">
        <f ca="1">IF($A22=0,"",uxb_ranking!$BF26)</f>
        <v>19</v>
      </c>
      <c r="L22" s="14" t="str">
        <f ca="1">uxb_ranking!AK26</f>
        <v>Ecuador</v>
      </c>
      <c r="M22" s="20">
        <f ca="1">uxb_ranking!AR26</f>
        <v>31.7</v>
      </c>
      <c r="O22" s="13" t="str">
        <f ca="1">IF($A22=0,"",uxb_ranking!$BG26)</f>
        <v>=17</v>
      </c>
      <c r="P22" s="14" t="str">
        <f ca="1">uxb_ranking!AL26</f>
        <v>Venezuela</v>
      </c>
      <c r="Q22" s="20">
        <f ca="1">uxb_ranking!AS26</f>
        <v>16.7</v>
      </c>
    </row>
    <row r="23" spans="1:17" ht="15.95" customHeight="1">
      <c r="A23" s="106">
        <v>1</v>
      </c>
      <c r="B23" s="106"/>
      <c r="C23" s="13">
        <f ca="1">IF(A23=0,"",uxb_ranking!BD27)</f>
        <v>20</v>
      </c>
      <c r="D23" s="14" t="str">
        <f ca="1">uxb_ranking!AI27</f>
        <v>Jamaica</v>
      </c>
      <c r="E23" s="15">
        <f ca="1">uxb_ranking!AP27</f>
        <v>21.2</v>
      </c>
      <c r="G23" s="13">
        <f ca="1">IF($A23=0,"",uxb_ranking!$BE27)</f>
        <v>20</v>
      </c>
      <c r="H23" s="14" t="str">
        <f ca="1">uxb_ranking!AJ27</f>
        <v>Argentina</v>
      </c>
      <c r="I23" s="20">
        <f ca="1">uxb_ranking!AQ27</f>
        <v>18.8</v>
      </c>
      <c r="K23" s="13">
        <f ca="1">IF($A23=0,"",uxb_ranking!$BF27)</f>
        <v>20</v>
      </c>
      <c r="L23" s="14" t="str">
        <f ca="1">uxb_ranking!AK27</f>
        <v>Haiti</v>
      </c>
      <c r="M23" s="20">
        <f ca="1">uxb_ranking!AR27</f>
        <v>30</v>
      </c>
      <c r="O23" s="13">
        <f ca="1">IF($A23=0,"",uxb_ranking!$BG27)</f>
        <v>20</v>
      </c>
      <c r="P23" s="14" t="str">
        <f ca="1">uxb_ranking!AL27</f>
        <v>Jamaica</v>
      </c>
      <c r="Q23" s="20">
        <f ca="1">uxb_ranking!AS27</f>
        <v>0</v>
      </c>
    </row>
  </sheetData>
  <phoneticPr fontId="2" type="noConversion"/>
  <conditionalFormatting sqref="D4:D23 P4:P23 L4:L23 H4:H23">
    <cfRule type="expression" dxfId="92" priority="1" stopIfTrue="1">
      <formula>$A4=0</formula>
    </cfRule>
    <cfRule type="cellIs" dxfId="91" priority="2" stopIfTrue="1" operator="equal">
      <formula>$A$2</formula>
    </cfRule>
  </conditionalFormatting>
  <conditionalFormatting sqref="E4:E23 Q4:Q23 M4:M23 I4:I23">
    <cfRule type="expression" dxfId="90" priority="3" stopIfTrue="1">
      <formula>$A4=0</formula>
    </cfRule>
    <cfRule type="expression" dxfId="89" priority="4" stopIfTrue="1">
      <formula>D4=$A$2</formula>
    </cfRule>
  </conditionalFormatting>
  <conditionalFormatting sqref="C4:C23 G4:G23 K4:K23 O4:O23">
    <cfRule type="expression" dxfId="88" priority="5" stopIfTrue="1">
      <formula>$A4=0</formula>
    </cfRule>
    <cfRule type="expression" dxfId="87" priority="6" stopIfTrue="1">
      <formula>$A$2=D4</formula>
    </cfRule>
  </conditionalFormatting>
  <conditionalFormatting sqref="C3:E3">
    <cfRule type="expression" dxfId="86" priority="7" stopIfTrue="1">
      <formula>$A$2=2</formula>
    </cfRule>
  </conditionalFormatting>
  <pageMargins left="0.74803149606299213" right="0.74803149606299213" top="0.59055118110236227" bottom="0.59055118110236227" header="0.51181102362204722" footer="0.51181102362204722"/>
  <pageSetup scale="85"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sheetPr codeName="Sheet23">
    <pageSetUpPr fitToPage="1"/>
  </sheetPr>
  <dimension ref="A1:CQ23"/>
  <sheetViews>
    <sheetView showGridLines="0" showRowColHeaders="0" zoomScale="80" zoomScaleNormal="80" workbookViewId="0">
      <selection activeCell="A2" sqref="A2"/>
    </sheetView>
  </sheetViews>
  <sheetFormatPr defaultRowHeight="12.75"/>
  <cols>
    <col min="1" max="1" width="2.140625" customWidth="1"/>
    <col min="2" max="2" width="2.42578125" customWidth="1"/>
    <col min="3" max="3" width="5.7109375" hidden="1" customWidth="1"/>
    <col min="4" max="4" width="4.5703125" customWidth="1"/>
    <col min="5" max="5" width="16.85546875" customWidth="1"/>
    <col min="7" max="7" width="7.42578125" customWidth="1"/>
    <col min="8" max="8" width="3" hidden="1" customWidth="1"/>
    <col min="9" max="9" width="6" customWidth="1"/>
    <col min="10" max="10" width="3" hidden="1" customWidth="1"/>
    <col min="11" max="11" width="5.42578125" customWidth="1"/>
    <col min="12" max="12" width="16" customWidth="1"/>
    <col min="14" max="14" width="7.140625" customWidth="1"/>
    <col min="15" max="15" width="2.7109375" hidden="1" customWidth="1"/>
    <col min="16" max="16" width="6" customWidth="1"/>
    <col min="17" max="17" width="3.28515625" hidden="1" customWidth="1"/>
    <col min="18" max="19" width="2.7109375" hidden="1" customWidth="1"/>
    <col min="20" max="20" width="4.28515625" customWidth="1"/>
    <col min="21" max="21" width="16.140625" customWidth="1"/>
    <col min="23" max="23" width="6.5703125" customWidth="1"/>
    <col min="24" max="24" width="0.140625" style="186" customWidth="1"/>
    <col min="25" max="25" width="6" customWidth="1"/>
    <col min="26" max="26" width="3.140625" style="186" hidden="1" customWidth="1"/>
    <col min="27" max="27" width="4.85546875" customWidth="1"/>
    <col min="28" max="28" width="16" customWidth="1"/>
    <col min="29" max="29" width="8.28515625" customWidth="1"/>
    <col min="30" max="30" width="7.28515625" customWidth="1"/>
    <col min="31" max="31" width="4.42578125" style="186" hidden="1" customWidth="1"/>
  </cols>
  <sheetData>
    <row r="1" spans="1:95" s="9" customFormat="1" ht="21" customHeight="1">
      <c r="A1" s="21" t="s">
        <v>549</v>
      </c>
      <c r="B1" s="21"/>
      <c r="C1" s="21"/>
      <c r="D1" s="7"/>
      <c r="E1" s="7"/>
      <c r="F1" s="7"/>
      <c r="G1" s="7"/>
      <c r="H1" s="7"/>
      <c r="I1" s="7"/>
      <c r="J1" s="7"/>
      <c r="K1" s="7"/>
      <c r="L1" s="7"/>
      <c r="M1" s="7"/>
      <c r="N1" s="7"/>
      <c r="O1" s="7"/>
      <c r="P1" s="7"/>
      <c r="Q1" s="7"/>
      <c r="R1" s="7"/>
      <c r="S1" s="7"/>
      <c r="T1" s="7"/>
      <c r="U1" s="7"/>
      <c r="V1" s="7"/>
      <c r="W1" s="7"/>
      <c r="X1" s="185"/>
      <c r="Y1" s="7"/>
      <c r="Z1" s="185"/>
      <c r="AA1" s="7"/>
      <c r="AB1" s="7"/>
      <c r="AC1" s="7"/>
      <c r="AD1" s="7"/>
      <c r="AE1" s="185"/>
      <c r="AF1" s="8"/>
      <c r="AG1" s="7"/>
      <c r="AH1" s="7"/>
      <c r="AJ1" s="7"/>
      <c r="AK1" s="7"/>
      <c r="AM1" s="7"/>
      <c r="AN1" s="7"/>
      <c r="BD1" s="10"/>
      <c r="BE1" s="10"/>
      <c r="BF1" s="10"/>
      <c r="BG1" s="10"/>
      <c r="BJ1" s="11"/>
      <c r="BK1" s="11"/>
      <c r="BL1" s="11"/>
      <c r="BM1" s="11"/>
      <c r="BN1" s="11"/>
      <c r="BO1" s="11"/>
      <c r="BP1" s="11"/>
      <c r="BQ1" s="11"/>
      <c r="BR1" s="11"/>
      <c r="BS1" s="11"/>
      <c r="BU1" s="11"/>
      <c r="BV1" s="11"/>
      <c r="BW1" s="11"/>
      <c r="BX1" s="11"/>
      <c r="BY1" s="11"/>
      <c r="BZ1" s="11"/>
      <c r="CA1" s="11"/>
      <c r="CB1" s="11"/>
      <c r="CC1" s="11"/>
      <c r="CD1" s="11"/>
      <c r="CE1" s="11"/>
      <c r="CG1" s="11"/>
      <c r="CH1" s="11"/>
      <c r="CI1" s="11"/>
      <c r="CJ1" s="11"/>
      <c r="CK1" s="11"/>
      <c r="CL1" s="11"/>
      <c r="CM1" s="11"/>
      <c r="CN1" s="11"/>
      <c r="CO1" s="11"/>
      <c r="CP1" s="11"/>
      <c r="CQ1" s="11"/>
    </row>
    <row r="2" spans="1:95" ht="20.25" customHeight="1">
      <c r="A2" s="106" t="str">
        <f ca="1">uxb_globals!B5</f>
        <v>Peru</v>
      </c>
      <c r="B2" s="106"/>
      <c r="C2" s="106"/>
    </row>
    <row r="3" spans="1:95" ht="24.75" customHeight="1">
      <c r="A3" s="106"/>
      <c r="B3" s="106"/>
      <c r="C3" s="106"/>
      <c r="D3" s="111" t="s">
        <v>484</v>
      </c>
      <c r="E3" s="12"/>
      <c r="F3" s="191">
        <v>2008</v>
      </c>
      <c r="G3" s="191" t="s">
        <v>160</v>
      </c>
      <c r="K3" s="110" t="str">
        <f ca="1">uxb_scores_2007!C4</f>
        <v xml:space="preserve">Regulatory Framework </v>
      </c>
      <c r="L3" s="17"/>
      <c r="M3" s="18"/>
      <c r="N3" s="18"/>
      <c r="T3" s="110" t="str">
        <f ca="1">uxb_scores_2007!C5</f>
        <v>Investment Climate</v>
      </c>
      <c r="U3" s="17"/>
      <c r="V3" s="18"/>
      <c r="W3" s="18"/>
      <c r="AA3" s="110" t="str">
        <f ca="1">uxb_scores_2007!C6</f>
        <v>Institutional Development</v>
      </c>
      <c r="AB3" s="17"/>
      <c r="AC3" s="18"/>
      <c r="AD3" s="18"/>
    </row>
    <row r="4" spans="1:95" ht="18" customHeight="1">
      <c r="A4" s="106">
        <v>1</v>
      </c>
      <c r="B4" s="106"/>
      <c r="C4" s="186">
        <f ca="1">uxb_ranking!DH8</f>
        <v>1</v>
      </c>
      <c r="D4" s="190">
        <f ca="1">IF(A4=0,"",uxb_ranking!BD8)</f>
        <v>1</v>
      </c>
      <c r="E4" s="14" t="str">
        <f ca="1">uxb_ranking!AI8</f>
        <v>Peru</v>
      </c>
      <c r="F4" s="15">
        <f ca="1">uxb_ranking!AP8</f>
        <v>76.599999999999994</v>
      </c>
      <c r="G4" s="190" t="str">
        <f ca="1">uxb_ranking!CM8</f>
        <v>+2.5</v>
      </c>
      <c r="H4">
        <f ca="1">uxb_ranking!CT8</f>
        <v>1</v>
      </c>
      <c r="J4">
        <f ca="1">uxb_ranking!DI8</f>
        <v>0</v>
      </c>
      <c r="K4" s="190" t="str">
        <f ca="1">IF($A4=0,"",uxb_ranking!BE8)</f>
        <v>=1</v>
      </c>
      <c r="L4" s="14" t="str">
        <f ca="1">uxb_ranking!AJ8</f>
        <v>Bolivia</v>
      </c>
      <c r="M4" s="20">
        <f ca="1">uxb_ranking!AQ8</f>
        <v>87.5</v>
      </c>
      <c r="N4" s="190" t="str">
        <f ca="1">uxb_ranking!CN8</f>
        <v>-12.5</v>
      </c>
      <c r="O4">
        <f ca="1">uxb_ranking!CU8</f>
        <v>-1</v>
      </c>
      <c r="S4">
        <f ca="1">uxb_ranking!DJ8</f>
        <v>0</v>
      </c>
      <c r="T4" s="190">
        <f ca="1">IF($A4=0,"",uxb_ranking!BF8)</f>
        <v>1</v>
      </c>
      <c r="U4" s="14" t="str">
        <f ca="1">uxb_ranking!AK8</f>
        <v>Chile</v>
      </c>
      <c r="V4" s="20">
        <f ca="1">uxb_ranking!AR8</f>
        <v>74.2</v>
      </c>
      <c r="W4" s="190" t="str">
        <f ca="1">uxb_ranking!CO8</f>
        <v>-0.8</v>
      </c>
      <c r="X4" s="186">
        <f ca="1">uxb_ranking!CV8</f>
        <v>-1</v>
      </c>
      <c r="Z4" s="186">
        <f ca="1">uxb_ranking!DK8</f>
        <v>0</v>
      </c>
      <c r="AA4" s="190">
        <f ca="1">IF($A4=0,"",uxb_ranking!BG8)</f>
        <v>1</v>
      </c>
      <c r="AB4" s="14" t="str">
        <f ca="1">uxb_ranking!AL8</f>
        <v>Ecuador</v>
      </c>
      <c r="AC4" s="20">
        <f ca="1">uxb_ranking!AS8</f>
        <v>83.3</v>
      </c>
      <c r="AD4" s="190" t="str">
        <f ca="1">uxb_ranking!CP8</f>
        <v>+8.3</v>
      </c>
      <c r="AE4" s="186">
        <f ca="1">uxb_ranking!CW8</f>
        <v>1</v>
      </c>
    </row>
    <row r="5" spans="1:95" ht="18" customHeight="1">
      <c r="A5" s="106">
        <v>1</v>
      </c>
      <c r="B5" s="106"/>
      <c r="C5" s="186">
        <f ca="1">uxb_ranking!DH9</f>
        <v>-1</v>
      </c>
      <c r="D5" s="190">
        <f ca="1">IF(A5=0,"",uxb_ranking!BD9)</f>
        <v>2</v>
      </c>
      <c r="E5" s="14" t="str">
        <f ca="1">uxb_ranking!AI9</f>
        <v>Bolivia</v>
      </c>
      <c r="F5" s="15">
        <f ca="1">uxb_ranking!AP9</f>
        <v>74.400000000000006</v>
      </c>
      <c r="G5" s="190" t="str">
        <f ca="1">uxb_ranking!CM9</f>
        <v>-5.0</v>
      </c>
      <c r="H5">
        <f ca="1">uxb_ranking!CT9</f>
        <v>-1</v>
      </c>
      <c r="J5">
        <f ca="1">uxb_ranking!DI9</f>
        <v>1</v>
      </c>
      <c r="K5" s="190" t="str">
        <f ca="1">IF($A5=0,"",uxb_ranking!BE9)</f>
        <v>=1</v>
      </c>
      <c r="L5" s="14" t="str">
        <f ca="1">uxb_ranking!AJ9</f>
        <v>Peru</v>
      </c>
      <c r="M5" s="20">
        <f ca="1">uxb_ranking!AQ9</f>
        <v>87.5</v>
      </c>
      <c r="N5" s="190" t="str">
        <f ca="1">uxb_ranking!CN9</f>
        <v>+6.2</v>
      </c>
      <c r="O5">
        <f ca="1">uxb_ranking!CU9</f>
        <v>1</v>
      </c>
      <c r="S5">
        <f ca="1">uxb_ranking!DJ9</f>
        <v>0</v>
      </c>
      <c r="T5" s="190">
        <f ca="1">IF($A5=0,"",uxb_ranking!BF9)</f>
        <v>2</v>
      </c>
      <c r="U5" s="14" t="str">
        <f ca="1">uxb_ranking!AK9</f>
        <v>Costa Rica</v>
      </c>
      <c r="V5" s="20">
        <f ca="1">uxb_ranking!AR9</f>
        <v>59.7</v>
      </c>
      <c r="W5" s="190" t="str">
        <f ca="1">uxb_ranking!CO9</f>
        <v>new</v>
      </c>
      <c r="X5" s="186">
        <f ca="1">uxb_ranking!CV9</f>
        <v>0</v>
      </c>
      <c r="Z5" s="186">
        <f ca="1">uxb_ranking!DK9</f>
        <v>-1</v>
      </c>
      <c r="AA5" s="190" t="str">
        <f ca="1">IF($A5=0,"",uxb_ranking!BG9)</f>
        <v>=2</v>
      </c>
      <c r="AB5" s="14" t="str">
        <f ca="1">uxb_ranking!AL9</f>
        <v>Bolivia</v>
      </c>
      <c r="AC5" s="20">
        <f ca="1">uxb_ranking!AS9</f>
        <v>75</v>
      </c>
      <c r="AD5" s="190" t="str">
        <f ca="1">uxb_ranking!CP9</f>
        <v>-</v>
      </c>
      <c r="AE5" s="186">
        <f ca="1">uxb_ranking!CW9</f>
        <v>0</v>
      </c>
    </row>
    <row r="6" spans="1:95" ht="18" customHeight="1">
      <c r="A6" s="106">
        <v>1</v>
      </c>
      <c r="B6" s="106"/>
      <c r="C6" s="186">
        <f ca="1">uxb_ranking!DH10</f>
        <v>0</v>
      </c>
      <c r="D6" s="190">
        <f ca="1">IF(A6=0,"",uxb_ranking!BD10)</f>
        <v>3</v>
      </c>
      <c r="E6" s="14" t="str">
        <f ca="1">uxb_ranking!AI10</f>
        <v>Ecuador</v>
      </c>
      <c r="F6" s="15">
        <f ca="1">uxb_ranking!AP10</f>
        <v>69.7</v>
      </c>
      <c r="G6" s="190" t="str">
        <f ca="1">uxb_ranking!CM10</f>
        <v>+1.4</v>
      </c>
      <c r="H6">
        <f ca="1">uxb_ranking!CT10</f>
        <v>1</v>
      </c>
      <c r="J6">
        <f ca="1">uxb_ranking!DI10</f>
        <v>0</v>
      </c>
      <c r="K6" s="190">
        <f ca="1">IF($A6=0,"",uxb_ranking!BE10)</f>
        <v>3</v>
      </c>
      <c r="L6" s="14" t="str">
        <f ca="1">uxb_ranking!AJ10</f>
        <v>Ecuador</v>
      </c>
      <c r="M6" s="20">
        <f ca="1">uxb_ranking!AQ10</f>
        <v>75</v>
      </c>
      <c r="N6" s="190" t="str">
        <f ca="1">uxb_ranking!CN10</f>
        <v>-</v>
      </c>
      <c r="O6">
        <f ca="1">uxb_ranking!CU10</f>
        <v>0</v>
      </c>
      <c r="S6">
        <f ca="1">uxb_ranking!DJ10</f>
        <v>0</v>
      </c>
      <c r="T6" s="190" t="str">
        <f ca="1">IF($A6=0,"",uxb_ranking!BF10)</f>
        <v>=3</v>
      </c>
      <c r="U6" s="14" t="str">
        <f ca="1">uxb_ranking!AK10</f>
        <v>Mexico</v>
      </c>
      <c r="V6" s="20">
        <f ca="1">uxb_ranking!AR10</f>
        <v>58.3</v>
      </c>
      <c r="W6" s="190" t="str">
        <f ca="1">uxb_ranking!CO10</f>
        <v>-</v>
      </c>
      <c r="X6" s="186">
        <f ca="1">uxb_ranking!CV10</f>
        <v>0</v>
      </c>
      <c r="Z6" s="186">
        <f ca="1">uxb_ranking!DK10</f>
        <v>-1</v>
      </c>
      <c r="AA6" s="190" t="str">
        <f ca="1">IF($A6=0,"",uxb_ranking!BG10)</f>
        <v>=2</v>
      </c>
      <c r="AB6" s="14" t="str">
        <f ca="1">uxb_ranking!AL10</f>
        <v>Peru</v>
      </c>
      <c r="AC6" s="20">
        <f ca="1">uxb_ranking!AS10</f>
        <v>75</v>
      </c>
      <c r="AD6" s="190" t="str">
        <f ca="1">uxb_ranking!CP10</f>
        <v>-</v>
      </c>
      <c r="AE6" s="186">
        <f ca="1">uxb_ranking!CW10</f>
        <v>0</v>
      </c>
    </row>
    <row r="7" spans="1:95" ht="18" customHeight="1">
      <c r="A7" s="106">
        <v>1</v>
      </c>
      <c r="B7" s="106"/>
      <c r="C7" s="186">
        <f ca="1">uxb_ranking!DH11</f>
        <v>0</v>
      </c>
      <c r="D7" s="190">
        <f ca="1">IF(A7=0,"",uxb_ranking!BD11)</f>
        <v>4</v>
      </c>
      <c r="E7" s="14" t="str">
        <f ca="1">uxb_ranking!AI11</f>
        <v>El Salvador</v>
      </c>
      <c r="F7" s="15">
        <f ca="1">uxb_ranking!AP11</f>
        <v>59</v>
      </c>
      <c r="G7" s="190" t="str">
        <f ca="1">uxb_ranking!CM11</f>
        <v>-2.5</v>
      </c>
      <c r="H7">
        <f ca="1">uxb_ranking!CT11</f>
        <v>-1</v>
      </c>
      <c r="J7">
        <f ca="1">uxb_ranking!DI11</f>
        <v>1</v>
      </c>
      <c r="K7" s="190" t="str">
        <f ca="1">IF($A7=0,"",uxb_ranking!BE11)</f>
        <v>=4</v>
      </c>
      <c r="L7" s="14" t="str">
        <f ca="1">uxb_ranking!AJ11</f>
        <v>Colombia</v>
      </c>
      <c r="M7" s="20">
        <f ca="1">uxb_ranking!AQ11</f>
        <v>62.5</v>
      </c>
      <c r="N7" s="190" t="str">
        <f ca="1">uxb_ranking!CN11</f>
        <v>+12.5</v>
      </c>
      <c r="O7">
        <f ca="1">uxb_ranking!CU11</f>
        <v>1</v>
      </c>
      <c r="S7">
        <f ca="1">uxb_ranking!DJ11</f>
        <v>0</v>
      </c>
      <c r="T7" s="190" t="str">
        <f ca="1">IF($A7=0,"",uxb_ranking!BF11)</f>
        <v>=3</v>
      </c>
      <c r="U7" s="14" t="str">
        <f ca="1">uxb_ranking!AK11</f>
        <v>Panama</v>
      </c>
      <c r="V7" s="20">
        <f ca="1">uxb_ranking!AR11</f>
        <v>58.3</v>
      </c>
      <c r="W7" s="190" t="str">
        <f ca="1">uxb_ranking!CO11</f>
        <v>new</v>
      </c>
      <c r="X7" s="186">
        <f ca="1">uxb_ranking!CV11</f>
        <v>0</v>
      </c>
      <c r="Z7" s="186">
        <f ca="1">uxb_ranking!DK11</f>
        <v>1</v>
      </c>
      <c r="AA7" s="190" t="str">
        <f ca="1">IF($A7=0,"",uxb_ranking!BG11)</f>
        <v>=4</v>
      </c>
      <c r="AB7" s="14" t="str">
        <f ca="1">uxb_ranking!AL11</f>
        <v>El Salvador</v>
      </c>
      <c r="AC7" s="20">
        <f ca="1">uxb_ranking!AS11</f>
        <v>66.7</v>
      </c>
      <c r="AD7" s="190" t="str">
        <f ca="1">uxb_ranking!CP11</f>
        <v>-</v>
      </c>
      <c r="AE7" s="186">
        <f ca="1">uxb_ranking!CW11</f>
        <v>0</v>
      </c>
    </row>
    <row r="8" spans="1:95" ht="18" customHeight="1">
      <c r="A8" s="106">
        <v>1</v>
      </c>
      <c r="B8" s="106"/>
      <c r="C8" s="186">
        <f ca="1">uxb_ranking!DH12</f>
        <v>1</v>
      </c>
      <c r="D8" s="190">
        <f ca="1">IF(A8=0,"",uxb_ranking!BD12)</f>
        <v>5</v>
      </c>
      <c r="E8" s="14" t="str">
        <f ca="1">uxb_ranking!AI12</f>
        <v>Colombia</v>
      </c>
      <c r="F8" s="15">
        <f ca="1">uxb_ranking!AP12</f>
        <v>58.6</v>
      </c>
      <c r="G8" s="190" t="str">
        <f ca="1">uxb_ranking!CM12</f>
        <v>+12.5</v>
      </c>
      <c r="H8">
        <f ca="1">uxb_ranking!CT12</f>
        <v>1</v>
      </c>
      <c r="J8">
        <f ca="1">uxb_ranking!DI12</f>
        <v>0</v>
      </c>
      <c r="K8" s="190" t="str">
        <f ca="1">IF($A8=0,"",uxb_ranking!BE12)</f>
        <v>=4</v>
      </c>
      <c r="L8" s="14" t="str">
        <f ca="1">uxb_ranking!AJ12</f>
        <v>Paraguay</v>
      </c>
      <c r="M8" s="20">
        <f ca="1">uxb_ranking!AQ12</f>
        <v>62.5</v>
      </c>
      <c r="N8" s="190" t="str">
        <f ca="1">uxb_ranking!CN12</f>
        <v>-</v>
      </c>
      <c r="O8">
        <f ca="1">uxb_ranking!CU12</f>
        <v>0</v>
      </c>
      <c r="S8">
        <f ca="1">uxb_ranking!DJ12</f>
        <v>-1</v>
      </c>
      <c r="T8" s="190">
        <f ca="1">IF($A8=0,"",uxb_ranking!BF12)</f>
        <v>5</v>
      </c>
      <c r="U8" s="14" t="str">
        <f ca="1">uxb_ranking!AK12</f>
        <v>Peru</v>
      </c>
      <c r="V8" s="20">
        <f ca="1">uxb_ranking!AR12</f>
        <v>58</v>
      </c>
      <c r="W8" s="190" t="str">
        <f ca="1">uxb_ranking!CO12</f>
        <v>+0.1</v>
      </c>
      <c r="X8" s="186">
        <f ca="1">uxb_ranking!CV12</f>
        <v>1</v>
      </c>
      <c r="Z8" s="186">
        <f ca="1">uxb_ranking!DK12</f>
        <v>1</v>
      </c>
      <c r="AA8" s="190" t="str">
        <f ca="1">IF($A8=0,"",uxb_ranking!BG12)</f>
        <v>=4</v>
      </c>
      <c r="AB8" s="14" t="str">
        <f ca="1">uxb_ranking!AL12</f>
        <v>Nicaragua</v>
      </c>
      <c r="AC8" s="20">
        <f ca="1">uxb_ranking!AS12</f>
        <v>66.7</v>
      </c>
      <c r="AD8" s="190" t="str">
        <f ca="1">uxb_ranking!CP12</f>
        <v>+8.4</v>
      </c>
      <c r="AE8" s="186">
        <f ca="1">uxb_ranking!CW12</f>
        <v>1</v>
      </c>
    </row>
    <row r="9" spans="1:95" ht="18" customHeight="1">
      <c r="A9" s="106">
        <v>1</v>
      </c>
      <c r="B9" s="106"/>
      <c r="C9" s="186">
        <f ca="1">uxb_ranking!DH13</f>
        <v>0</v>
      </c>
      <c r="D9" s="190">
        <f ca="1">IF(A9=0,"",uxb_ranking!BD13)</f>
        <v>6</v>
      </c>
      <c r="E9" s="14" t="str">
        <f ca="1">uxb_ranking!AI13</f>
        <v>Nicaragua</v>
      </c>
      <c r="F9" s="15">
        <f ca="1">uxb_ranking!AP13</f>
        <v>58</v>
      </c>
      <c r="G9" s="190" t="str">
        <f ca="1">uxb_ranking!CM13</f>
        <v>+4.2</v>
      </c>
      <c r="H9">
        <f ca="1">uxb_ranking!CT13</f>
        <v>1</v>
      </c>
      <c r="J9">
        <f ca="1">uxb_ranking!DI13</f>
        <v>-1</v>
      </c>
      <c r="K9" s="190" t="str">
        <f ca="1">IF($A9=0,"",uxb_ranking!BE13)</f>
        <v>=6</v>
      </c>
      <c r="L9" s="14" t="str">
        <f ca="1">uxb_ranking!AJ13</f>
        <v>El Salvador</v>
      </c>
      <c r="M9" s="20">
        <f ca="1">uxb_ranking!AQ13</f>
        <v>56.3</v>
      </c>
      <c r="N9" s="190" t="str">
        <f ca="1">uxb_ranking!CN13</f>
        <v>-6.2</v>
      </c>
      <c r="O9">
        <f ca="1">uxb_ranking!CU13</f>
        <v>-1</v>
      </c>
      <c r="S9">
        <f ca="1">uxb_ranking!DJ13</f>
        <v>0</v>
      </c>
      <c r="T9" s="190">
        <f ca="1">IF($A9=0,"",uxb_ranking!BF13)</f>
        <v>6</v>
      </c>
      <c r="U9" s="14" t="str">
        <f ca="1">uxb_ranking!AK13</f>
        <v>Jamaica</v>
      </c>
      <c r="V9" s="20">
        <f ca="1">uxb_ranking!AR13</f>
        <v>55.8</v>
      </c>
      <c r="W9" s="190" t="str">
        <f ca="1">uxb_ranking!CO13</f>
        <v>new</v>
      </c>
      <c r="X9" s="186">
        <f ca="1">uxb_ranking!CV13</f>
        <v>0</v>
      </c>
      <c r="Z9" s="186">
        <f ca="1">uxb_ranking!DK13</f>
        <v>1</v>
      </c>
      <c r="AA9" s="190" t="str">
        <f ca="1">IF($A9=0,"",uxb_ranking!BG13)</f>
        <v>=6</v>
      </c>
      <c r="AB9" s="14" t="str">
        <f ca="1">uxb_ranking!AL13</f>
        <v>Colombia</v>
      </c>
      <c r="AC9" s="20">
        <f ca="1">uxb_ranking!AS13</f>
        <v>58.3</v>
      </c>
      <c r="AD9" s="190" t="str">
        <f ca="1">uxb_ranking!CP13</f>
        <v>+16.6</v>
      </c>
      <c r="AE9" s="186">
        <f ca="1">uxb_ranking!CW13</f>
        <v>1</v>
      </c>
    </row>
    <row r="10" spans="1:95" ht="18" customHeight="1">
      <c r="A10" s="106">
        <v>1</v>
      </c>
      <c r="B10" s="106"/>
      <c r="C10" s="186">
        <f ca="1">uxb_ranking!DH14</f>
        <v>1</v>
      </c>
      <c r="D10" s="190">
        <f ca="1">IF(A10=0,"",uxb_ranking!BD14)</f>
        <v>7</v>
      </c>
      <c r="E10" s="14" t="str">
        <f ca="1">uxb_ranking!AI14</f>
        <v>Guatemala</v>
      </c>
      <c r="F10" s="15">
        <f ca="1">uxb_ranking!AP14</f>
        <v>54</v>
      </c>
      <c r="G10" s="190" t="str">
        <f ca="1">uxb_ranking!CM14</f>
        <v>+10.0</v>
      </c>
      <c r="H10">
        <f ca="1">uxb_ranking!CT14</f>
        <v>1</v>
      </c>
      <c r="J10">
        <f ca="1">uxb_ranking!DI14</f>
        <v>0</v>
      </c>
      <c r="K10" s="190" t="str">
        <f ca="1">IF($A10=0,"",uxb_ranking!BE14)</f>
        <v>=6</v>
      </c>
      <c r="L10" s="14" t="str">
        <f ca="1">uxb_ranking!AJ14</f>
        <v>Guatemala</v>
      </c>
      <c r="M10" s="20">
        <f ca="1">uxb_ranking!AQ14</f>
        <v>56.3</v>
      </c>
      <c r="N10" s="190" t="str">
        <f ca="1">uxb_ranking!CN14</f>
        <v>-</v>
      </c>
      <c r="O10">
        <f ca="1">uxb_ranking!CU14</f>
        <v>0</v>
      </c>
      <c r="S10">
        <f ca="1">uxb_ranking!DJ14</f>
        <v>-1</v>
      </c>
      <c r="T10" s="190">
        <f ca="1">IF($A10=0,"",uxb_ranking!BF14)</f>
        <v>7</v>
      </c>
      <c r="U10" s="14" t="str">
        <f ca="1">uxb_ranking!AK14</f>
        <v>Brazil</v>
      </c>
      <c r="V10" s="20">
        <f ca="1">uxb_ranking!AR14</f>
        <v>53.6</v>
      </c>
      <c r="W10" s="190" t="str">
        <f ca="1">uxb_ranking!CO14</f>
        <v>-8.5</v>
      </c>
      <c r="X10" s="186">
        <f ca="1">uxb_ranking!CV14</f>
        <v>-1</v>
      </c>
      <c r="Z10" s="186">
        <f ca="1">uxb_ranking!DK14</f>
        <v>1</v>
      </c>
      <c r="AA10" s="190" t="str">
        <f ca="1">IF($A10=0,"",uxb_ranking!BG14)</f>
        <v>=6</v>
      </c>
      <c r="AB10" s="14" t="str">
        <f ca="1">uxb_ranking!AL14</f>
        <v>Guatemala</v>
      </c>
      <c r="AC10" s="20">
        <f ca="1">uxb_ranking!AS14</f>
        <v>58.3</v>
      </c>
      <c r="AD10" s="190" t="str">
        <f ca="1">uxb_ranking!CP14</f>
        <v>+25.0</v>
      </c>
      <c r="AE10" s="186">
        <f ca="1">uxb_ranking!CW14</f>
        <v>1</v>
      </c>
    </row>
    <row r="11" spans="1:95" ht="18" customHeight="1">
      <c r="A11" s="106">
        <v>1</v>
      </c>
      <c r="B11" s="106"/>
      <c r="C11" s="186">
        <f ca="1">uxb_ranking!DH15</f>
        <v>-1</v>
      </c>
      <c r="D11" s="190">
        <f ca="1">IF(A11=0,"",uxb_ranking!BD15)</f>
        <v>8</v>
      </c>
      <c r="E11" s="14" t="str">
        <f ca="1">uxb_ranking!AI15</f>
        <v>Paraguay</v>
      </c>
      <c r="F11" s="15">
        <f ca="1">uxb_ranking!AP15</f>
        <v>49.6</v>
      </c>
      <c r="G11" s="190" t="str">
        <f ca="1">uxb_ranking!CM15</f>
        <v>-3.3</v>
      </c>
      <c r="H11">
        <f ca="1">uxb_ranking!CT15</f>
        <v>-1</v>
      </c>
      <c r="J11">
        <f ca="1">uxb_ranking!DI15</f>
        <v>1</v>
      </c>
      <c r="K11" s="190" t="str">
        <f ca="1">IF($A11=0,"",uxb_ranking!BE15)</f>
        <v>=6</v>
      </c>
      <c r="L11" s="14" t="str">
        <f ca="1">uxb_ranking!AJ15</f>
        <v>Mexico</v>
      </c>
      <c r="M11" s="20">
        <f ca="1">uxb_ranking!AQ15</f>
        <v>56.3</v>
      </c>
      <c r="N11" s="190" t="str">
        <f ca="1">uxb_ranking!CN15</f>
        <v>+6.3</v>
      </c>
      <c r="O11">
        <f ca="1">uxb_ranking!CU15</f>
        <v>1</v>
      </c>
      <c r="S11">
        <f ca="1">uxb_ranking!DJ15</f>
        <v>-1</v>
      </c>
      <c r="T11" s="190">
        <f ca="1">IF($A11=0,"",uxb_ranking!BF15)</f>
        <v>8</v>
      </c>
      <c r="U11" s="14" t="str">
        <f ca="1">uxb_ranking!AK15</f>
        <v>Colombia</v>
      </c>
      <c r="V11" s="20">
        <f ca="1">uxb_ranking!AR15</f>
        <v>51.4</v>
      </c>
      <c r="W11" s="190" t="str">
        <f ca="1">uxb_ranking!CO15</f>
        <v>+4.3</v>
      </c>
      <c r="X11" s="186">
        <f ca="1">uxb_ranking!CV15</f>
        <v>1</v>
      </c>
      <c r="Z11" s="186">
        <f ca="1">uxb_ranking!DK15</f>
        <v>-1</v>
      </c>
      <c r="AA11" s="190" t="str">
        <f ca="1">IF($A11=0,"",uxb_ranking!BG15)</f>
        <v>=8</v>
      </c>
      <c r="AB11" s="14" t="str">
        <f ca="1">uxb_ranking!AL15</f>
        <v>Dominican Rep</v>
      </c>
      <c r="AC11" s="20">
        <f ca="1">uxb_ranking!AS15</f>
        <v>50</v>
      </c>
      <c r="AD11" s="190" t="str">
        <f ca="1">uxb_ranking!CP15</f>
        <v>-25.0</v>
      </c>
      <c r="AE11" s="186">
        <f ca="1">uxb_ranking!CW15</f>
        <v>-1</v>
      </c>
    </row>
    <row r="12" spans="1:95" ht="18" customHeight="1">
      <c r="A12" s="106">
        <v>1</v>
      </c>
      <c r="B12" s="106"/>
      <c r="C12" s="186">
        <f ca="1">uxb_ranking!DH16</f>
        <v>-1</v>
      </c>
      <c r="D12" s="190">
        <f ca="1">IF(A12=0,"",uxb_ranking!BD16)</f>
        <v>9</v>
      </c>
      <c r="E12" s="14" t="str">
        <f ca="1">uxb_ranking!AI16</f>
        <v>Dominican Rep</v>
      </c>
      <c r="F12" s="15">
        <f ca="1">uxb_ranking!AP16</f>
        <v>48</v>
      </c>
      <c r="G12" s="190" t="str">
        <f ca="1">uxb_ranking!CM16</f>
        <v>-9.5</v>
      </c>
      <c r="H12">
        <f ca="1">uxb_ranking!CT16</f>
        <v>-1</v>
      </c>
      <c r="J12">
        <f ca="1">uxb_ranking!DI16</f>
        <v>0</v>
      </c>
      <c r="K12" s="190" t="str">
        <f ca="1">IF($A12=0,"",uxb_ranking!BE16)</f>
        <v>=6</v>
      </c>
      <c r="L12" s="14" t="str">
        <f ca="1">uxb_ranking!AJ16</f>
        <v>Nicaragua</v>
      </c>
      <c r="M12" s="20">
        <f ca="1">uxb_ranking!AQ16</f>
        <v>56.3</v>
      </c>
      <c r="N12" s="190" t="str">
        <f ca="1">uxb_ranking!CN16</f>
        <v>-</v>
      </c>
      <c r="O12">
        <f ca="1">uxb_ranking!CU16</f>
        <v>0</v>
      </c>
      <c r="S12">
        <f ca="1">uxb_ranking!DJ16</f>
        <v>-1</v>
      </c>
      <c r="T12" s="190">
        <f ca="1">IF($A12=0,"",uxb_ranking!BF16)</f>
        <v>9</v>
      </c>
      <c r="U12" s="14" t="str">
        <f ca="1">uxb_ranking!AK16</f>
        <v>El Salvador</v>
      </c>
      <c r="V12" s="20">
        <f ca="1">uxb_ranking!AR16</f>
        <v>49.2</v>
      </c>
      <c r="W12" s="190" t="str">
        <f ca="1">uxb_ranking!CO16</f>
        <v>-</v>
      </c>
      <c r="X12" s="186">
        <f ca="1">uxb_ranking!CV16</f>
        <v>0</v>
      </c>
      <c r="Z12" s="186">
        <f ca="1">uxb_ranking!DK16</f>
        <v>0</v>
      </c>
      <c r="AA12" s="190" t="str">
        <f ca="1">IF($A12=0,"",uxb_ranking!BG16)</f>
        <v>=8</v>
      </c>
      <c r="AB12" s="14" t="str">
        <f ca="1">uxb_ranking!AL16</f>
        <v>Honduras</v>
      </c>
      <c r="AC12" s="20">
        <f ca="1">uxb_ranking!AS16</f>
        <v>50</v>
      </c>
      <c r="AD12" s="190" t="str">
        <f ca="1">uxb_ranking!CP16</f>
        <v>new</v>
      </c>
      <c r="AE12" s="186">
        <f ca="1">uxb_ranking!CW16</f>
        <v>0</v>
      </c>
    </row>
    <row r="13" spans="1:95" ht="18" customHeight="1">
      <c r="A13" s="106">
        <v>1</v>
      </c>
      <c r="B13" s="106"/>
      <c r="C13" s="186">
        <f ca="1">uxb_ranking!DH17</f>
        <v>-1</v>
      </c>
      <c r="D13" s="190" t="str">
        <f ca="1">IF(A13=0,"",uxb_ranking!BD17)</f>
        <v>=10</v>
      </c>
      <c r="E13" s="14" t="str">
        <f ca="1">uxb_ranking!AI17</f>
        <v>Mexico</v>
      </c>
      <c r="F13" s="15">
        <f ca="1">uxb_ranking!AP17</f>
        <v>47.5</v>
      </c>
      <c r="G13" s="190" t="str">
        <f ca="1">uxb_ranking!CM17</f>
        <v>-0.8</v>
      </c>
      <c r="H13">
        <f ca="1">uxb_ranking!CT17</f>
        <v>-1</v>
      </c>
      <c r="J13">
        <f ca="1">uxb_ranking!DI17</f>
        <v>0</v>
      </c>
      <c r="K13" s="190" t="str">
        <f ca="1">IF($A13=0,"",uxb_ranking!BE17)</f>
        <v>=6</v>
      </c>
      <c r="L13" s="14" t="str">
        <f ca="1">uxb_ranking!AJ17</f>
        <v>Panama</v>
      </c>
      <c r="M13" s="20">
        <f ca="1">uxb_ranking!AQ17</f>
        <v>56.3</v>
      </c>
      <c r="N13" s="190" t="str">
        <f ca="1">uxb_ranking!CN17</f>
        <v>new</v>
      </c>
      <c r="O13">
        <f ca="1">uxb_ranking!CU17</f>
        <v>0</v>
      </c>
      <c r="S13">
        <f ca="1">uxb_ranking!DJ17</f>
        <v>-1</v>
      </c>
      <c r="T13" s="190">
        <f ca="1">IF($A13=0,"",uxb_ranking!BF17)</f>
        <v>10</v>
      </c>
      <c r="U13" s="14" t="str">
        <f ca="1">uxb_ranking!AK17</f>
        <v>Bolivia</v>
      </c>
      <c r="V13" s="20">
        <f ca="1">uxb_ranking!AR17</f>
        <v>46.9</v>
      </c>
      <c r="W13" s="190" t="str">
        <f ca="1">uxb_ranking!CO17</f>
        <v>-0.2</v>
      </c>
      <c r="X13" s="186">
        <f ca="1">uxb_ranking!CV17</f>
        <v>-1</v>
      </c>
      <c r="Z13" s="186">
        <f ca="1">uxb_ranking!DK17</f>
        <v>-1</v>
      </c>
      <c r="AA13" s="190">
        <f ca="1">IF($A13=0,"",uxb_ranking!BG17)</f>
        <v>10</v>
      </c>
      <c r="AB13" s="14" t="str">
        <f ca="1">uxb_ranking!AL17</f>
        <v>Paraguay</v>
      </c>
      <c r="AC13" s="20">
        <f ca="1">uxb_ranking!AS17</f>
        <v>41.7</v>
      </c>
      <c r="AD13" s="190" t="str">
        <f ca="1">uxb_ranking!CP17</f>
        <v>-8.3</v>
      </c>
      <c r="AE13" s="186">
        <f ca="1">uxb_ranking!CW17</f>
        <v>-1</v>
      </c>
    </row>
    <row r="14" spans="1:95" ht="18" customHeight="1">
      <c r="A14" s="106">
        <v>1</v>
      </c>
      <c r="B14" s="106"/>
      <c r="C14" s="186">
        <f ca="1">uxb_ranking!DH18</f>
        <v>0</v>
      </c>
      <c r="D14" s="190" t="str">
        <f ca="1">IF(A14=0,"",uxb_ranking!BD18)</f>
        <v>=10</v>
      </c>
      <c r="E14" s="14" t="str">
        <f ca="1">uxb_ranking!AI18</f>
        <v>Panama</v>
      </c>
      <c r="F14" s="15">
        <f ca="1">uxb_ranking!AP18</f>
        <v>47.5</v>
      </c>
      <c r="G14" s="190" t="str">
        <f ca="1">uxb_ranking!CM18</f>
        <v>new</v>
      </c>
      <c r="H14">
        <f ca="1">uxb_ranking!CT18</f>
        <v>0</v>
      </c>
      <c r="J14">
        <f ca="1">uxb_ranking!DI18</f>
        <v>-1</v>
      </c>
      <c r="K14" s="190" t="str">
        <f ca="1">IF($A14=0,"",uxb_ranking!BE18)</f>
        <v>=11</v>
      </c>
      <c r="L14" s="14" t="str">
        <f ca="1">uxb_ranking!AJ18</f>
        <v>Dominican Rep</v>
      </c>
      <c r="M14" s="20">
        <f ca="1">uxb_ranking!AQ18</f>
        <v>50</v>
      </c>
      <c r="N14" s="190" t="str">
        <f ca="1">uxb_ranking!CN18</f>
        <v>-</v>
      </c>
      <c r="O14">
        <f ca="1">uxb_ranking!CU18</f>
        <v>0</v>
      </c>
      <c r="S14">
        <f ca="1">uxb_ranking!DJ18</f>
        <v>-1</v>
      </c>
      <c r="T14" s="190">
        <f ca="1">IF($A14=0,"",uxb_ranking!BF18)</f>
        <v>11</v>
      </c>
      <c r="U14" s="14" t="str">
        <f ca="1">uxb_ranking!AK18</f>
        <v>Uruguay</v>
      </c>
      <c r="V14" s="20">
        <f ca="1">uxb_ranking!AR18</f>
        <v>45.8</v>
      </c>
      <c r="W14" s="190" t="str">
        <f ca="1">uxb_ranking!CO18</f>
        <v>-8.4</v>
      </c>
      <c r="X14" s="186">
        <f ca="1">uxb_ranking!CV18</f>
        <v>-1</v>
      </c>
      <c r="Z14" s="186">
        <f ca="1">uxb_ranking!DK18</f>
        <v>1</v>
      </c>
      <c r="AA14" s="190" t="str">
        <f ca="1">IF($A14=0,"",uxb_ranking!BG18)</f>
        <v>=11</v>
      </c>
      <c r="AB14" s="14" t="str">
        <f ca="1">uxb_ranking!AL18</f>
        <v>Argentina</v>
      </c>
      <c r="AC14" s="20">
        <f ca="1">uxb_ranking!AS18</f>
        <v>33.299999999999997</v>
      </c>
      <c r="AD14" s="190" t="str">
        <f ca="1">uxb_ranking!CP18</f>
        <v>+8.3</v>
      </c>
      <c r="AE14" s="186">
        <f ca="1">uxb_ranking!CW18</f>
        <v>1</v>
      </c>
    </row>
    <row r="15" spans="1:95" ht="18" customHeight="1">
      <c r="A15" s="106">
        <v>1</v>
      </c>
      <c r="B15" s="106"/>
      <c r="C15" s="186">
        <f ca="1">uxb_ranking!DH19</f>
        <v>0</v>
      </c>
      <c r="D15" s="190">
        <f ca="1">IF(A15=0,"",uxb_ranking!BD19)</f>
        <v>12</v>
      </c>
      <c r="E15" s="14" t="str">
        <f ca="1">uxb_ranking!AI19</f>
        <v>Honduras</v>
      </c>
      <c r="F15" s="15">
        <f ca="1">uxb_ranking!AP19</f>
        <v>47.1</v>
      </c>
      <c r="G15" s="190" t="str">
        <f ca="1">uxb_ranking!CM19</f>
        <v>new</v>
      </c>
      <c r="H15">
        <f ca="1">uxb_ranking!CT19</f>
        <v>0</v>
      </c>
      <c r="J15">
        <f ca="1">uxb_ranking!DI19</f>
        <v>0</v>
      </c>
      <c r="K15" s="190" t="str">
        <f ca="1">IF($A15=0,"",uxb_ranking!BE19)</f>
        <v>=11</v>
      </c>
      <c r="L15" s="14" t="str">
        <f ca="1">uxb_ranking!AJ19</f>
        <v>Honduras</v>
      </c>
      <c r="M15" s="20">
        <f ca="1">uxb_ranking!AQ19</f>
        <v>50</v>
      </c>
      <c r="N15" s="190" t="str">
        <f ca="1">uxb_ranking!CN19</f>
        <v>new</v>
      </c>
      <c r="O15">
        <f ca="1">uxb_ranking!CU19</f>
        <v>0</v>
      </c>
      <c r="S15">
        <f ca="1">uxb_ranking!DJ19</f>
        <v>1</v>
      </c>
      <c r="T15" s="190">
        <f ca="1">IF($A15=0,"",uxb_ranking!BF19)</f>
        <v>12</v>
      </c>
      <c r="U15" s="14" t="str">
        <f ca="1">uxb_ranking!AK19</f>
        <v>Nicaragua</v>
      </c>
      <c r="V15" s="20">
        <f ca="1">uxb_ranking!AR19</f>
        <v>44.2</v>
      </c>
      <c r="W15" s="190" t="str">
        <f ca="1">uxb_ranking!CO19</f>
        <v>+4.2</v>
      </c>
      <c r="X15" s="186">
        <f ca="1">uxb_ranking!CV19</f>
        <v>1</v>
      </c>
      <c r="Z15" s="186">
        <f ca="1">uxb_ranking!DK19</f>
        <v>-1</v>
      </c>
      <c r="AA15" s="190" t="str">
        <f ca="1">IF($A15=0,"",uxb_ranking!BG19)</f>
        <v>=11</v>
      </c>
      <c r="AB15" s="14" t="str">
        <f ca="1">uxb_ranking!AL19</f>
        <v>Brazil</v>
      </c>
      <c r="AC15" s="20">
        <f ca="1">uxb_ranking!AS19</f>
        <v>33.299999999999997</v>
      </c>
      <c r="AD15" s="190" t="str">
        <f ca="1">uxb_ranking!CP19</f>
        <v>-</v>
      </c>
      <c r="AE15" s="186">
        <f ca="1">uxb_ranking!CW19</f>
        <v>0</v>
      </c>
    </row>
    <row r="16" spans="1:95" ht="18" customHeight="1">
      <c r="A16" s="106">
        <v>1</v>
      </c>
      <c r="B16" s="106"/>
      <c r="C16" s="186">
        <f ca="1">uxb_ranking!DH20</f>
        <v>-1</v>
      </c>
      <c r="D16" s="190">
        <f ca="1">IF(A16=0,"",uxb_ranking!BD20)</f>
        <v>13</v>
      </c>
      <c r="E16" s="14" t="str">
        <f ca="1">uxb_ranking!AI20</f>
        <v>Chile</v>
      </c>
      <c r="F16" s="15">
        <f ca="1">uxb_ranking!AP20</f>
        <v>43.2</v>
      </c>
      <c r="G16" s="190" t="str">
        <f ca="1">uxb_ranking!CM20</f>
        <v>-5.1</v>
      </c>
      <c r="H16">
        <f ca="1">uxb_ranking!CT20</f>
        <v>-1</v>
      </c>
      <c r="J16">
        <f ca="1">uxb_ranking!DI20</f>
        <v>-1</v>
      </c>
      <c r="K16" s="190" t="str">
        <f ca="1">IF($A16=0,"",uxb_ranking!BE20)</f>
        <v>=13</v>
      </c>
      <c r="L16" s="14" t="str">
        <f ca="1">uxb_ranking!AJ20</f>
        <v>Brazil</v>
      </c>
      <c r="M16" s="20">
        <f ca="1">uxb_ranking!AQ20</f>
        <v>43.8</v>
      </c>
      <c r="N16" s="190" t="str">
        <f ca="1">uxb_ranking!CN20</f>
        <v>-</v>
      </c>
      <c r="O16">
        <f ca="1">uxb_ranking!CU20</f>
        <v>0</v>
      </c>
      <c r="S16">
        <f ca="1">uxb_ranking!DJ20</f>
        <v>-1</v>
      </c>
      <c r="T16" s="190">
        <f ca="1">IF($A16=0,"",uxb_ranking!BF20)</f>
        <v>13</v>
      </c>
      <c r="U16" s="14" t="str">
        <f ca="1">uxb_ranking!AK20</f>
        <v>Venezuela</v>
      </c>
      <c r="V16" s="20">
        <f ca="1">uxb_ranking!AR20</f>
        <v>41.4</v>
      </c>
      <c r="W16" s="190" t="str">
        <f ca="1">uxb_ranking!CO20</f>
        <v>+0.1</v>
      </c>
      <c r="X16" s="186">
        <f ca="1">uxb_ranking!CV20</f>
        <v>1</v>
      </c>
      <c r="Z16" s="186">
        <f ca="1">uxb_ranking!DK20</f>
        <v>-1</v>
      </c>
      <c r="AA16" s="190" t="str">
        <f ca="1">IF($A16=0,"",uxb_ranking!BG20)</f>
        <v>=11</v>
      </c>
      <c r="AB16" s="14" t="str">
        <f ca="1">uxb_ranking!AL20</f>
        <v>Chile</v>
      </c>
      <c r="AC16" s="20">
        <f ca="1">uxb_ranking!AS20</f>
        <v>33.299999999999997</v>
      </c>
      <c r="AD16" s="190" t="str">
        <f ca="1">uxb_ranking!CP20</f>
        <v>-</v>
      </c>
      <c r="AE16" s="186">
        <f ca="1">uxb_ranking!CW20</f>
        <v>0</v>
      </c>
    </row>
    <row r="17" spans="1:31" ht="18" customHeight="1">
      <c r="A17" s="106">
        <v>1</v>
      </c>
      <c r="B17" s="106"/>
      <c r="C17" s="186">
        <f ca="1">uxb_ranking!DH21</f>
        <v>-1</v>
      </c>
      <c r="D17" s="190">
        <f ca="1">IF(A17=0,"",uxb_ranking!BD21)</f>
        <v>14</v>
      </c>
      <c r="E17" s="14" t="str">
        <f ca="1">uxb_ranking!AI21</f>
        <v>Brazil</v>
      </c>
      <c r="F17" s="15">
        <f ca="1">uxb_ranking!AP21</f>
        <v>41.6</v>
      </c>
      <c r="G17" s="190" t="str">
        <f ca="1">uxb_ranking!CM21</f>
        <v>-1.7</v>
      </c>
      <c r="H17">
        <f ca="1">uxb_ranking!CT21</f>
        <v>-1</v>
      </c>
      <c r="J17">
        <f ca="1">uxb_ranking!DI21</f>
        <v>0</v>
      </c>
      <c r="K17" s="190" t="str">
        <f ca="1">IF($A17=0,"",uxb_ranking!BE21)</f>
        <v>=13</v>
      </c>
      <c r="L17" s="14" t="str">
        <f ca="1">uxb_ranking!AJ21</f>
        <v>Haiti</v>
      </c>
      <c r="M17" s="20">
        <f ca="1">uxb_ranking!AQ21</f>
        <v>43.8</v>
      </c>
      <c r="N17" s="190" t="str">
        <f ca="1">uxb_ranking!CN21</f>
        <v>new</v>
      </c>
      <c r="O17">
        <f ca="1">uxb_ranking!CU21</f>
        <v>0</v>
      </c>
      <c r="S17">
        <f ca="1">uxb_ranking!DJ21</f>
        <v>-1</v>
      </c>
      <c r="T17" s="190">
        <f ca="1">IF($A17=0,"",uxb_ranking!BF21)</f>
        <v>14</v>
      </c>
      <c r="U17" s="14" t="str">
        <f ca="1">uxb_ranking!AK21</f>
        <v>Guatemala</v>
      </c>
      <c r="V17" s="20">
        <f ca="1">uxb_ranking!AR21</f>
        <v>40.799999999999997</v>
      </c>
      <c r="W17" s="190" t="str">
        <f ca="1">uxb_ranking!CO21</f>
        <v>-</v>
      </c>
      <c r="X17" s="186">
        <f ca="1">uxb_ranking!CV21</f>
        <v>0</v>
      </c>
      <c r="Z17" s="186">
        <f ca="1">uxb_ranking!DK21</f>
        <v>0</v>
      </c>
      <c r="AA17" s="190" t="str">
        <f ca="1">IF($A17=0,"",uxb_ranking!BG21)</f>
        <v>=11</v>
      </c>
      <c r="AB17" s="14" t="str">
        <f ca="1">uxb_ranking!AL21</f>
        <v>Costa Rica</v>
      </c>
      <c r="AC17" s="20">
        <f ca="1">uxb_ranking!AS21</f>
        <v>33.299999999999997</v>
      </c>
      <c r="AD17" s="190" t="str">
        <f ca="1">uxb_ranking!CP21</f>
        <v>new</v>
      </c>
      <c r="AE17" s="186">
        <f ca="1">uxb_ranking!CW21</f>
        <v>0</v>
      </c>
    </row>
    <row r="18" spans="1:31" ht="18" customHeight="1">
      <c r="A18" s="106">
        <v>1</v>
      </c>
      <c r="B18" s="106"/>
      <c r="C18" s="186">
        <f ca="1">uxb_ranking!DH22</f>
        <v>0</v>
      </c>
      <c r="D18" s="190">
        <f ca="1">IF(A18=0,"",uxb_ranking!BD22)</f>
        <v>15</v>
      </c>
      <c r="E18" s="14" t="str">
        <f ca="1">uxb_ranking!AI22</f>
        <v>Costa Rica</v>
      </c>
      <c r="F18" s="15">
        <f ca="1">uxb_ranking!AP22</f>
        <v>40.299999999999997</v>
      </c>
      <c r="G18" s="190" t="str">
        <f ca="1">uxb_ranking!CM22</f>
        <v>new</v>
      </c>
      <c r="H18">
        <f ca="1">uxb_ranking!CT22</f>
        <v>0</v>
      </c>
      <c r="J18">
        <f ca="1">uxb_ranking!DI22</f>
        <v>-1</v>
      </c>
      <c r="K18" s="190" t="str">
        <f ca="1">IF($A18=0,"",uxb_ranking!BE22)</f>
        <v>=15</v>
      </c>
      <c r="L18" s="14" t="str">
        <f ca="1">uxb_ranking!AJ22</f>
        <v>Chile</v>
      </c>
      <c r="M18" s="20">
        <f ca="1">uxb_ranking!AQ22</f>
        <v>37.5</v>
      </c>
      <c r="N18" s="190" t="str">
        <f ca="1">uxb_ranking!CN22</f>
        <v>-12.5</v>
      </c>
      <c r="O18">
        <f ca="1">uxb_ranking!CU22</f>
        <v>-1</v>
      </c>
      <c r="S18">
        <f ca="1">uxb_ranking!DJ22</f>
        <v>0</v>
      </c>
      <c r="T18" s="190">
        <f ca="1">IF($A18=0,"",uxb_ranking!BF22)</f>
        <v>15</v>
      </c>
      <c r="U18" s="14" t="str">
        <f ca="1">uxb_ranking!AK22</f>
        <v>Dominican Rep</v>
      </c>
      <c r="V18" s="20">
        <f ca="1">uxb_ranking!AR22</f>
        <v>40</v>
      </c>
      <c r="W18" s="190" t="str">
        <f ca="1">uxb_ranking!CO22</f>
        <v>+2.5</v>
      </c>
      <c r="X18" s="186">
        <f ca="1">uxb_ranking!CV22</f>
        <v>1</v>
      </c>
      <c r="Z18" s="186">
        <f ca="1">uxb_ranking!DK22</f>
        <v>-1</v>
      </c>
      <c r="AA18" s="190" t="str">
        <f ca="1">IF($A18=0,"",uxb_ranking!BG22)</f>
        <v>=11</v>
      </c>
      <c r="AB18" s="14" t="str">
        <f ca="1">uxb_ranking!AL22</f>
        <v>Mexico</v>
      </c>
      <c r="AC18" s="20">
        <f ca="1">uxb_ranking!AS22</f>
        <v>33.299999999999997</v>
      </c>
      <c r="AD18" s="190" t="str">
        <f ca="1">uxb_ranking!CP22</f>
        <v>-8.4</v>
      </c>
      <c r="AE18" s="186">
        <f ca="1">uxb_ranking!CW22</f>
        <v>-1</v>
      </c>
    </row>
    <row r="19" spans="1:31" ht="18" customHeight="1">
      <c r="A19" s="106">
        <v>1</v>
      </c>
      <c r="B19" s="106"/>
      <c r="C19" s="186">
        <f ca="1">uxb_ranking!DH23</f>
        <v>0</v>
      </c>
      <c r="D19" s="190">
        <f ca="1">IF(A19=0,"",uxb_ranking!BD23)</f>
        <v>16</v>
      </c>
      <c r="E19" s="14" t="str">
        <f ca="1">uxb_ranking!AI23</f>
        <v>Haiti</v>
      </c>
      <c r="F19" s="15">
        <f ca="1">uxb_ranking!AP23</f>
        <v>30.2</v>
      </c>
      <c r="G19" s="190" t="str">
        <f ca="1">uxb_ranking!CM23</f>
        <v>new</v>
      </c>
      <c r="H19">
        <f ca="1">uxb_ranking!CT23</f>
        <v>0</v>
      </c>
      <c r="J19">
        <f ca="1">uxb_ranking!DI23</f>
        <v>0</v>
      </c>
      <c r="K19" s="190" t="str">
        <f ca="1">IF($A19=0,"",uxb_ranking!BE23)</f>
        <v>=15</v>
      </c>
      <c r="L19" s="14" t="str">
        <f ca="1">uxb_ranking!AJ23</f>
        <v>Costa Rica</v>
      </c>
      <c r="M19" s="20">
        <f ca="1">uxb_ranking!AQ23</f>
        <v>37.5</v>
      </c>
      <c r="N19" s="190" t="str">
        <f ca="1">uxb_ranking!CN23</f>
        <v>new</v>
      </c>
      <c r="O19">
        <f ca="1">uxb_ranking!CU23</f>
        <v>0</v>
      </c>
      <c r="S19">
        <f ca="1">uxb_ranking!DJ23</f>
        <v>-1</v>
      </c>
      <c r="T19" s="190">
        <f ca="1">IF($A19=0,"",uxb_ranking!BF23)</f>
        <v>16</v>
      </c>
      <c r="U19" s="14" t="str">
        <f ca="1">uxb_ranking!AK23</f>
        <v>Paraguay</v>
      </c>
      <c r="V19" s="20">
        <f ca="1">uxb_ranking!AR23</f>
        <v>39.700000000000003</v>
      </c>
      <c r="W19" s="190" t="str">
        <f ca="1">uxb_ranking!CO23</f>
        <v>+0.1</v>
      </c>
      <c r="X19" s="186">
        <f ca="1">uxb_ranking!CV23</f>
        <v>1</v>
      </c>
      <c r="Z19" s="186">
        <f ca="1">uxb_ranking!DK23</f>
        <v>0</v>
      </c>
      <c r="AA19" s="190" t="str">
        <f ca="1">IF($A19=0,"",uxb_ranking!BG23)</f>
        <v>=11</v>
      </c>
      <c r="AB19" s="14" t="str">
        <f ca="1">uxb_ranking!AL23</f>
        <v>Panama</v>
      </c>
      <c r="AC19" s="20">
        <f ca="1">uxb_ranking!AS23</f>
        <v>33.299999999999997</v>
      </c>
      <c r="AD19" s="190" t="str">
        <f ca="1">uxb_ranking!CP23</f>
        <v>new</v>
      </c>
      <c r="AE19" s="186">
        <f ca="1">uxb_ranking!CW23</f>
        <v>0</v>
      </c>
    </row>
    <row r="20" spans="1:31" ht="18" customHeight="1">
      <c r="A20" s="106">
        <v>1</v>
      </c>
      <c r="B20" s="106"/>
      <c r="C20" s="186">
        <f ca="1">uxb_ranking!DH24</f>
        <v>-1</v>
      </c>
      <c r="D20" s="190">
        <f ca="1">IF(A20=0,"",uxb_ranking!BD24)</f>
        <v>17</v>
      </c>
      <c r="E20" s="14" t="str">
        <f ca="1">uxb_ranking!AI24</f>
        <v>Argentina</v>
      </c>
      <c r="F20" s="15">
        <f ca="1">uxb_ranking!AP24</f>
        <v>28.5</v>
      </c>
      <c r="G20" s="190" t="str">
        <f ca="1">uxb_ranking!CM24</f>
        <v>+1.7</v>
      </c>
      <c r="H20">
        <f ca="1">uxb_ranking!CT24</f>
        <v>1</v>
      </c>
      <c r="J20">
        <f ca="1">uxb_ranking!DI24</f>
        <v>-1</v>
      </c>
      <c r="K20" s="190">
        <f ca="1">IF($A20=0,"",uxb_ranking!BE24)</f>
        <v>17</v>
      </c>
      <c r="L20" s="14" t="str">
        <f ca="1">uxb_ranking!AJ24</f>
        <v>Uruguay</v>
      </c>
      <c r="M20" s="20">
        <f ca="1">uxb_ranking!AQ24</f>
        <v>31.3</v>
      </c>
      <c r="N20" s="190" t="str">
        <f ca="1">uxb_ranking!CN24</f>
        <v>-6.2</v>
      </c>
      <c r="O20">
        <f ca="1">uxb_ranking!CU24</f>
        <v>-1</v>
      </c>
      <c r="S20">
        <f ca="1">uxb_ranking!DJ24</f>
        <v>-1</v>
      </c>
      <c r="T20" s="190">
        <f ca="1">IF($A20=0,"",uxb_ranking!BF24)</f>
        <v>17</v>
      </c>
      <c r="U20" s="14" t="str">
        <f ca="1">uxb_ranking!AK24</f>
        <v>Argentina</v>
      </c>
      <c r="V20" s="20">
        <f ca="1">uxb_ranking!AR24</f>
        <v>38.299999999999997</v>
      </c>
      <c r="W20" s="190" t="str">
        <f ca="1">uxb_ranking!CO24</f>
        <v>-8.4</v>
      </c>
      <c r="X20" s="186">
        <f ca="1">uxb_ranking!CV24</f>
        <v>-1</v>
      </c>
      <c r="Z20" s="186">
        <f ca="1">uxb_ranking!DK24</f>
        <v>0</v>
      </c>
      <c r="AA20" s="190" t="str">
        <f ca="1">IF($A20=0,"",uxb_ranking!BG24)</f>
        <v>=17</v>
      </c>
      <c r="AB20" s="14" t="str">
        <f ca="1">uxb_ranking!AL24</f>
        <v>Haiti</v>
      </c>
      <c r="AC20" s="20">
        <f ca="1">uxb_ranking!AS24</f>
        <v>16.7</v>
      </c>
      <c r="AD20" s="190" t="str">
        <f ca="1">uxb_ranking!CP24</f>
        <v>new</v>
      </c>
      <c r="AE20" s="186">
        <f ca="1">uxb_ranking!CW24</f>
        <v>0</v>
      </c>
    </row>
    <row r="21" spans="1:31" ht="18" customHeight="1">
      <c r="A21" s="106">
        <v>1</v>
      </c>
      <c r="B21" s="106"/>
      <c r="C21" s="186">
        <f ca="1">uxb_ranking!DH25</f>
        <v>-1</v>
      </c>
      <c r="D21" s="190">
        <f ca="1">IF(A21=0,"",uxb_ranking!BD25)</f>
        <v>18</v>
      </c>
      <c r="E21" s="14" t="str">
        <f ca="1">uxb_ranking!AI25</f>
        <v>Uruguay</v>
      </c>
      <c r="F21" s="15">
        <f ca="1">uxb_ranking!AP25</f>
        <v>28.3</v>
      </c>
      <c r="G21" s="190" t="str">
        <f ca="1">uxb_ranking!CM25</f>
        <v>-7.5</v>
      </c>
      <c r="H21">
        <f ca="1">uxb_ranking!CT25</f>
        <v>-1</v>
      </c>
      <c r="J21">
        <f ca="1">uxb_ranking!DI25</f>
        <v>0</v>
      </c>
      <c r="K21" s="190" t="str">
        <f ca="1">IF($A21=0,"",uxb_ranking!BE25)</f>
        <v>=18</v>
      </c>
      <c r="L21" s="14" t="str">
        <f ca="1">uxb_ranking!AJ25</f>
        <v>Jamaica</v>
      </c>
      <c r="M21" s="20">
        <f ca="1">uxb_ranking!AQ25</f>
        <v>25</v>
      </c>
      <c r="N21" s="190" t="str">
        <f ca="1">uxb_ranking!CN25</f>
        <v>new</v>
      </c>
      <c r="O21">
        <f ca="1">uxb_ranking!CU25</f>
        <v>0</v>
      </c>
      <c r="S21">
        <f ca="1">uxb_ranking!DJ25</f>
        <v>0</v>
      </c>
      <c r="T21" s="190">
        <f ca="1">IF($A21=0,"",uxb_ranking!BF25)</f>
        <v>18</v>
      </c>
      <c r="U21" s="14" t="str">
        <f ca="1">uxb_ranking!AK25</f>
        <v>Honduras</v>
      </c>
      <c r="V21" s="20">
        <f ca="1">uxb_ranking!AR25</f>
        <v>35.5</v>
      </c>
      <c r="W21" s="190" t="str">
        <f ca="1">uxb_ranking!CO25</f>
        <v>new</v>
      </c>
      <c r="X21" s="186">
        <f ca="1">uxb_ranking!CV25</f>
        <v>0</v>
      </c>
      <c r="Z21" s="186">
        <f ca="1">uxb_ranking!DK25</f>
        <v>-1</v>
      </c>
      <c r="AA21" s="190" t="str">
        <f ca="1">IF($A21=0,"",uxb_ranking!BG25)</f>
        <v>=17</v>
      </c>
      <c r="AB21" s="14" t="str">
        <f ca="1">uxb_ranking!AL25</f>
        <v>Uruguay</v>
      </c>
      <c r="AC21" s="20">
        <f ca="1">uxb_ranking!AS25</f>
        <v>16.7</v>
      </c>
      <c r="AD21" s="190" t="str">
        <f ca="1">uxb_ranking!CP25</f>
        <v>-8.3</v>
      </c>
      <c r="AE21" s="186">
        <f ca="1">uxb_ranking!CW25</f>
        <v>-1</v>
      </c>
    </row>
    <row r="22" spans="1:31" ht="18" customHeight="1">
      <c r="A22" s="106">
        <v>1</v>
      </c>
      <c r="B22" s="106"/>
      <c r="C22" s="186">
        <f ca="1">uxb_ranking!DH26</f>
        <v>-1</v>
      </c>
      <c r="D22" s="190">
        <f ca="1">IF(A22=0,"",uxb_ranking!BD26)</f>
        <v>19</v>
      </c>
      <c r="E22" s="14" t="str">
        <f ca="1">uxb_ranking!AI26</f>
        <v>Venezuela</v>
      </c>
      <c r="F22" s="15">
        <f ca="1">uxb_ranking!AP26</f>
        <v>24.9</v>
      </c>
      <c r="G22" s="190" t="str">
        <f ca="1">uxb_ranking!CM26</f>
        <v>-2.5</v>
      </c>
      <c r="H22">
        <f ca="1">uxb_ranking!CT26</f>
        <v>-1</v>
      </c>
      <c r="J22">
        <f ca="1">uxb_ranking!DI26</f>
        <v>-1</v>
      </c>
      <c r="K22" s="190" t="str">
        <f ca="1">IF($A22=0,"",uxb_ranking!BE26)</f>
        <v>=18</v>
      </c>
      <c r="L22" s="14" t="str">
        <f ca="1">uxb_ranking!AJ26</f>
        <v>Venezuela</v>
      </c>
      <c r="M22" s="20">
        <f ca="1">uxb_ranking!AQ26</f>
        <v>25</v>
      </c>
      <c r="N22" s="190" t="str">
        <f ca="1">uxb_ranking!CN26</f>
        <v>-6.3</v>
      </c>
      <c r="O22">
        <f ca="1">uxb_ranking!CU26</f>
        <v>-1</v>
      </c>
      <c r="S22">
        <f ca="1">uxb_ranking!DJ26</f>
        <v>-1</v>
      </c>
      <c r="T22" s="190">
        <f ca="1">IF($A22=0,"",uxb_ranking!BF26)</f>
        <v>19</v>
      </c>
      <c r="U22" s="14" t="str">
        <f ca="1">uxb_ranking!AK26</f>
        <v>Ecuador</v>
      </c>
      <c r="V22" s="20">
        <f ca="1">uxb_ranking!AR26</f>
        <v>31.7</v>
      </c>
      <c r="W22" s="190" t="str">
        <f ca="1">uxb_ranking!CO26</f>
        <v>-9.6</v>
      </c>
      <c r="X22" s="186">
        <f ca="1">uxb_ranking!CV26</f>
        <v>-1</v>
      </c>
      <c r="Z22" s="186">
        <f ca="1">uxb_ranking!DK26</f>
        <v>-1</v>
      </c>
      <c r="AA22" s="190" t="str">
        <f ca="1">IF($A22=0,"",uxb_ranking!BG26)</f>
        <v>=17</v>
      </c>
      <c r="AB22" s="14" t="str">
        <f ca="1">uxb_ranking!AL26</f>
        <v>Venezuela</v>
      </c>
      <c r="AC22" s="20">
        <f ca="1">uxb_ranking!AS26</f>
        <v>16.7</v>
      </c>
      <c r="AD22" s="190" t="str">
        <f ca="1">uxb_ranking!CP26</f>
        <v>-</v>
      </c>
      <c r="AE22" s="186">
        <f ca="1">uxb_ranking!CW26</f>
        <v>0</v>
      </c>
    </row>
    <row r="23" spans="1:31" ht="18" customHeight="1">
      <c r="A23" s="106">
        <v>1</v>
      </c>
      <c r="B23" s="106"/>
      <c r="C23" s="186">
        <f ca="1">uxb_ranking!DH27</f>
        <v>0</v>
      </c>
      <c r="D23" s="190">
        <f ca="1">IF(A23=0,"",uxb_ranking!BD27)</f>
        <v>20</v>
      </c>
      <c r="E23" s="14" t="str">
        <f ca="1">uxb_ranking!AI27</f>
        <v>Jamaica</v>
      </c>
      <c r="F23" s="15">
        <f ca="1">uxb_ranking!AP27</f>
        <v>21.2</v>
      </c>
      <c r="G23" s="190" t="str">
        <f ca="1">uxb_ranking!CM27</f>
        <v>new</v>
      </c>
      <c r="H23">
        <f ca="1">uxb_ranking!CT27</f>
        <v>0</v>
      </c>
      <c r="J23">
        <f ca="1">uxb_ranking!DI27</f>
        <v>-1</v>
      </c>
      <c r="K23" s="190">
        <f ca="1">IF($A23=0,"",uxb_ranking!BE27)</f>
        <v>20</v>
      </c>
      <c r="L23" s="14" t="str">
        <f ca="1">uxb_ranking!AJ27</f>
        <v>Argentina</v>
      </c>
      <c r="M23" s="20">
        <f ca="1">uxb_ranking!AQ27</f>
        <v>18.8</v>
      </c>
      <c r="N23" s="190" t="str">
        <f ca="1">uxb_ranking!CN27</f>
        <v>-</v>
      </c>
      <c r="O23">
        <f ca="1">uxb_ranking!CU27</f>
        <v>0</v>
      </c>
      <c r="S23">
        <f ca="1">uxb_ranking!DJ27</f>
        <v>0</v>
      </c>
      <c r="T23" s="190">
        <f ca="1">IF($A23=0,"",uxb_ranking!BF27)</f>
        <v>20</v>
      </c>
      <c r="U23" s="14" t="str">
        <f ca="1">uxb_ranking!AK27</f>
        <v>Haiti</v>
      </c>
      <c r="V23" s="20">
        <f ca="1">uxb_ranking!AR27</f>
        <v>30</v>
      </c>
      <c r="W23" s="190" t="str">
        <f ca="1">uxb_ranking!CO27</f>
        <v>new</v>
      </c>
      <c r="X23" s="186">
        <f ca="1">uxb_ranking!CV27</f>
        <v>0</v>
      </c>
      <c r="Z23" s="186">
        <f ca="1">uxb_ranking!DK27</f>
        <v>0</v>
      </c>
      <c r="AA23" s="190">
        <f ca="1">IF($A23=0,"",uxb_ranking!BG27)</f>
        <v>20</v>
      </c>
      <c r="AB23" s="14" t="str">
        <f ca="1">uxb_ranking!AL27</f>
        <v>Jamaica</v>
      </c>
      <c r="AC23" s="20">
        <f ca="1">uxb_ranking!AS27</f>
        <v>0</v>
      </c>
      <c r="AD23" s="190" t="str">
        <f ca="1">uxb_ranking!CP27</f>
        <v>new</v>
      </c>
      <c r="AE23" s="186">
        <f ca="1">uxb_ranking!CW27</f>
        <v>0</v>
      </c>
    </row>
  </sheetData>
  <phoneticPr fontId="0" type="noConversion"/>
  <conditionalFormatting sqref="E4:E23 AB4:AB23 U4:U23 L4:L23">
    <cfRule type="expression" dxfId="85" priority="11" stopIfTrue="1">
      <formula>$A4=0</formula>
    </cfRule>
    <cfRule type="cellIs" dxfId="84" priority="12" stopIfTrue="1" operator="equal">
      <formula>$A$2</formula>
    </cfRule>
  </conditionalFormatting>
  <conditionalFormatting sqref="F4:F23 M4:M23 V4:V23 AC4:AC23">
    <cfRule type="expression" dxfId="83" priority="10">
      <formula>E4=$A$2</formula>
    </cfRule>
  </conditionalFormatting>
  <conditionalFormatting sqref="D4:D23 K4:K23 T4:T23 AA4:AA23">
    <cfRule type="expression" dxfId="82" priority="8" stopIfTrue="1">
      <formula>$A4=0</formula>
    </cfRule>
    <cfRule type="expression" dxfId="81" priority="9" stopIfTrue="1">
      <formula>$A$2=E4</formula>
    </cfRule>
  </conditionalFormatting>
  <conditionalFormatting sqref="D3:G3">
    <cfRule type="expression" dxfId="80" priority="7" stopIfTrue="1">
      <formula>$A$2=2</formula>
    </cfRule>
  </conditionalFormatting>
  <conditionalFormatting sqref="G4:G23 N4:N23 W4:W23 AD4:AD23">
    <cfRule type="expression" dxfId="79" priority="1" stopIfTrue="1">
      <formula>$A$2=E4</formula>
    </cfRule>
    <cfRule type="expression" dxfId="78" priority="2" stopIfTrue="1">
      <formula>H4=1</formula>
    </cfRule>
    <cfRule type="expression" dxfId="77" priority="3" stopIfTrue="1">
      <formula>H4=-1</formula>
    </cfRule>
  </conditionalFormatting>
  <pageMargins left="0.74803149606299213" right="0.74803149606299213" top="0.59055118110236227" bottom="0.59055118110236227" header="0.51181102362204722" footer="0.51181102362204722"/>
  <pageSetup scale="85"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sheetPr codeName="Sheet22">
    <pageSetUpPr fitToPage="1"/>
  </sheetPr>
  <dimension ref="A1:DC19"/>
  <sheetViews>
    <sheetView showGridLines="0" zoomScale="80" zoomScaleNormal="80" workbookViewId="0">
      <selection activeCell="F5" sqref="F5"/>
    </sheetView>
  </sheetViews>
  <sheetFormatPr defaultRowHeight="12.75"/>
  <cols>
    <col min="1" max="1" width="2.140625" customWidth="1"/>
    <col min="2" max="2" width="1.28515625" customWidth="1"/>
    <col min="3" max="3" width="5.7109375" hidden="1" customWidth="1"/>
    <col min="4" max="4" width="1.140625" customWidth="1"/>
    <col min="5" max="5" width="3.7109375" bestFit="1" customWidth="1"/>
    <col min="6" max="6" width="4.5703125" customWidth="1"/>
    <col min="7" max="7" width="1.7109375" customWidth="1"/>
    <col min="8" max="8" width="16.85546875" customWidth="1"/>
    <col min="10" max="10" width="6.42578125" customWidth="1"/>
    <col min="11" max="11" width="3" hidden="1" customWidth="1"/>
    <col min="12" max="12" width="1.5703125" customWidth="1"/>
    <col min="13" max="13" width="3" hidden="1" customWidth="1"/>
    <col min="14" max="14" width="2.5703125" customWidth="1"/>
    <col min="15" max="15" width="4.28515625" customWidth="1"/>
    <col min="16" max="16" width="3.85546875" customWidth="1"/>
    <col min="17" max="17" width="1.7109375" customWidth="1"/>
    <col min="18" max="18" width="16" customWidth="1"/>
    <col min="20" max="20" width="4.5703125" customWidth="1"/>
    <col min="21" max="21" width="0.7109375" hidden="1" customWidth="1"/>
    <col min="22" max="22" width="1.5703125" customWidth="1"/>
    <col min="23" max="23" width="3.28515625" hidden="1" customWidth="1"/>
    <col min="24" max="25" width="2.7109375" hidden="1" customWidth="1"/>
    <col min="26" max="26" width="2.5703125" customWidth="1"/>
    <col min="27" max="27" width="3.7109375" bestFit="1" customWidth="1"/>
    <col min="28" max="28" width="3.85546875" customWidth="1"/>
    <col min="29" max="29" width="1.7109375" customWidth="1"/>
    <col min="30" max="30" width="16.140625" customWidth="1"/>
    <col min="32" max="32" width="4.5703125" customWidth="1"/>
    <col min="33" max="33" width="0.140625" style="186" customWidth="1"/>
    <col min="34" max="34" width="1.5703125" customWidth="1"/>
    <col min="35" max="35" width="3.140625" style="186" hidden="1" customWidth="1"/>
    <col min="36" max="36" width="2.5703125" customWidth="1"/>
    <col min="37" max="37" width="4.28515625" customWidth="1"/>
    <col min="38" max="38" width="4.5703125" customWidth="1"/>
    <col min="39" max="39" width="1.7109375" customWidth="1"/>
    <col min="40" max="40" width="16" customWidth="1"/>
    <col min="41" max="41" width="8.28515625" customWidth="1"/>
    <col min="42" max="42" width="4.5703125" customWidth="1"/>
    <col min="43" max="43" width="4.42578125" style="186" hidden="1" customWidth="1"/>
  </cols>
  <sheetData>
    <row r="1" spans="1:107" s="9" customFormat="1" ht="21" customHeight="1">
      <c r="A1" s="21" t="s">
        <v>550</v>
      </c>
      <c r="B1" s="21"/>
      <c r="C1" s="21"/>
      <c r="E1" s="7"/>
      <c r="F1" s="7"/>
      <c r="G1" s="7"/>
      <c r="H1" s="7"/>
      <c r="I1" s="7"/>
      <c r="J1" s="7"/>
      <c r="K1" s="7"/>
      <c r="L1" s="7"/>
      <c r="M1" s="7"/>
      <c r="O1" s="7"/>
      <c r="P1" s="7"/>
      <c r="Q1" s="7"/>
      <c r="R1" s="7"/>
      <c r="S1" s="7"/>
      <c r="T1" s="7"/>
      <c r="U1" s="7"/>
      <c r="V1" s="7"/>
      <c r="W1" s="7"/>
      <c r="X1" s="7"/>
      <c r="Y1" s="7"/>
      <c r="AA1" s="7"/>
      <c r="AB1" s="7"/>
      <c r="AC1" s="7"/>
      <c r="AD1" s="7"/>
      <c r="AE1" s="7"/>
      <c r="AF1" s="7"/>
      <c r="AG1" s="185"/>
      <c r="AH1" s="7"/>
      <c r="AI1" s="185"/>
      <c r="AK1" s="7"/>
      <c r="AL1" s="7"/>
      <c r="AM1" s="7"/>
      <c r="AN1" s="7"/>
      <c r="AO1" s="7"/>
      <c r="AP1" s="7"/>
      <c r="AQ1" s="185"/>
      <c r="AR1" s="8"/>
      <c r="AS1" s="7"/>
      <c r="AT1" s="7"/>
      <c r="AV1" s="7"/>
      <c r="AW1" s="7"/>
      <c r="AY1" s="7"/>
      <c r="AZ1" s="7"/>
      <c r="BP1" s="10"/>
      <c r="BQ1" s="10"/>
      <c r="BR1" s="10"/>
      <c r="BS1" s="10"/>
      <c r="BV1" s="11"/>
      <c r="BW1" s="11"/>
      <c r="BX1" s="11"/>
      <c r="BY1" s="11"/>
      <c r="BZ1" s="11"/>
      <c r="CA1" s="11"/>
      <c r="CB1" s="11"/>
      <c r="CC1" s="11"/>
      <c r="CD1" s="11"/>
      <c r="CE1" s="11"/>
      <c r="CG1" s="11"/>
      <c r="CH1" s="11"/>
      <c r="CI1" s="11"/>
      <c r="CJ1" s="11"/>
      <c r="CK1" s="11"/>
      <c r="CL1" s="11"/>
      <c r="CM1" s="11"/>
      <c r="CN1" s="11"/>
      <c r="CO1" s="11"/>
      <c r="CP1" s="11"/>
      <c r="CQ1" s="11"/>
      <c r="CS1" s="11"/>
      <c r="CT1" s="11"/>
      <c r="CU1" s="11"/>
      <c r="CV1" s="11"/>
      <c r="CW1" s="11"/>
      <c r="CX1" s="11"/>
      <c r="CY1" s="11"/>
      <c r="CZ1" s="11"/>
      <c r="DA1" s="11"/>
      <c r="DB1" s="11"/>
      <c r="DC1" s="11"/>
    </row>
    <row r="2" spans="1:107" ht="20.25" customHeight="1">
      <c r="A2" s="106" t="str">
        <f ca="1">uxb_globals!B5</f>
        <v>Peru</v>
      </c>
      <c r="B2" s="106"/>
      <c r="C2" s="106"/>
      <c r="F2" s="106"/>
      <c r="G2" s="106"/>
      <c r="Q2" s="106"/>
      <c r="AC2" s="106"/>
      <c r="AM2" s="106"/>
    </row>
    <row r="3" spans="1:107" ht="24.75" customHeight="1">
      <c r="A3" s="106"/>
      <c r="B3" s="106"/>
      <c r="C3" s="106"/>
      <c r="E3" s="111" t="s">
        <v>484</v>
      </c>
      <c r="F3" s="111"/>
      <c r="G3" s="111"/>
      <c r="H3" s="12"/>
      <c r="I3" s="191"/>
      <c r="J3" s="191"/>
      <c r="O3" s="110" t="str">
        <f ca="1">uxb_scores_2007!C4</f>
        <v xml:space="preserve">Regulatory Framework </v>
      </c>
      <c r="P3" s="17"/>
      <c r="Q3" s="17"/>
      <c r="R3" s="17"/>
      <c r="S3" s="18"/>
      <c r="T3" s="18"/>
      <c r="AA3" s="110" t="str">
        <f ca="1">uxb_scores_2007!C5</f>
        <v>Investment Climate</v>
      </c>
      <c r="AB3" s="17"/>
      <c r="AC3" s="17"/>
      <c r="AD3" s="17"/>
      <c r="AE3" s="18"/>
      <c r="AF3" s="18"/>
      <c r="AK3" s="110" t="str">
        <f ca="1">uxb_scores_2007!C6</f>
        <v>Institutional Development</v>
      </c>
      <c r="AL3" s="110"/>
      <c r="AM3" s="17"/>
      <c r="AN3" s="17"/>
      <c r="AO3" s="18"/>
      <c r="AP3" s="18"/>
    </row>
    <row r="4" spans="1:107" ht="14.25" customHeight="1">
      <c r="A4" s="106"/>
      <c r="B4" s="106"/>
      <c r="C4" s="106"/>
      <c r="E4" s="208" t="s">
        <v>551</v>
      </c>
      <c r="F4" s="208" t="s">
        <v>552</v>
      </c>
      <c r="G4" s="111"/>
      <c r="H4" s="12"/>
      <c r="I4" s="191">
        <v>2008</v>
      </c>
      <c r="J4" s="191" t="s">
        <v>160</v>
      </c>
      <c r="O4" s="110"/>
      <c r="P4" s="17"/>
      <c r="Q4" s="17"/>
      <c r="R4" s="17"/>
      <c r="S4" s="18"/>
      <c r="T4" s="18"/>
      <c r="AA4" s="110"/>
      <c r="AB4" s="17"/>
      <c r="AC4" s="17"/>
      <c r="AD4" s="17"/>
      <c r="AE4" s="18"/>
      <c r="AF4" s="18"/>
      <c r="AK4" s="110"/>
      <c r="AL4" s="110"/>
      <c r="AM4" s="17"/>
      <c r="AN4" s="17"/>
      <c r="AO4" s="18"/>
      <c r="AP4" s="18"/>
    </row>
    <row r="5" spans="1:107" ht="18" customHeight="1">
      <c r="A5" s="106">
        <v>1</v>
      </c>
      <c r="B5" s="106"/>
      <c r="C5" s="186">
        <f ca="1">uxb_ranking_orig_only!DH8</f>
        <v>1</v>
      </c>
      <c r="E5" s="190">
        <f ca="1">IF(A5=0,"",uxb_ranking_orig_only!BD8)</f>
        <v>1</v>
      </c>
      <c r="F5" s="190" t="str">
        <f ca="1">uxb_ranking_orig_only!DA8</f>
        <v>+1</v>
      </c>
      <c r="G5" s="14"/>
      <c r="H5" s="14" t="str">
        <f ca="1">uxb_ranking_orig_only!AI8</f>
        <v>Peru</v>
      </c>
      <c r="I5" s="15">
        <f ca="1">uxb_ranking_orig_only!AP8</f>
        <v>76.599999999999994</v>
      </c>
      <c r="J5" s="13" t="str">
        <f ca="1">uxb_ranking_orig_only!CM8</f>
        <v>+2.5</v>
      </c>
      <c r="K5">
        <f ca="1">uxb_ranking_orig_only!CT8</f>
        <v>1</v>
      </c>
      <c r="M5">
        <f ca="1">uxb_ranking_orig_only!DI8</f>
        <v>0</v>
      </c>
      <c r="O5" s="190">
        <f ca="1">IF($A5=0,"",uxb_ranking_orig_only!BE8)</f>
        <v>1</v>
      </c>
      <c r="P5" s="190" t="str">
        <f ca="1">uxb_ranking_orig_only!DB8</f>
        <v>-</v>
      </c>
      <c r="Q5" s="14"/>
      <c r="R5" s="14" t="str">
        <f ca="1">uxb_ranking_orig_only!AJ8</f>
        <v>Bolivia</v>
      </c>
      <c r="S5" s="20">
        <f ca="1">uxb_ranking_orig_only!AQ8</f>
        <v>87.5</v>
      </c>
      <c r="T5" s="13" t="str">
        <f ca="1">uxb_ranking_orig_only!CN8</f>
        <v>-12.5</v>
      </c>
      <c r="U5">
        <f ca="1">uxb_ranking_orig_only!CU8</f>
        <v>-1</v>
      </c>
      <c r="Y5">
        <f ca="1">uxb_ranking_orig_only!DJ8</f>
        <v>0</v>
      </c>
      <c r="AA5" s="190">
        <f ca="1">IF($A5=0,"",uxb_ranking_orig_only!BF8)</f>
        <v>1</v>
      </c>
      <c r="AB5" s="190" t="str">
        <f ca="1">uxb_ranking_orig_only!DC8</f>
        <v>-</v>
      </c>
      <c r="AC5" s="14"/>
      <c r="AD5" s="14" t="str">
        <f ca="1">uxb_ranking_orig_only!AK8</f>
        <v>Chile</v>
      </c>
      <c r="AE5" s="20">
        <f ca="1">uxb_ranking_orig_only!AR8</f>
        <v>74.2</v>
      </c>
      <c r="AF5" s="13" t="str">
        <f ca="1">uxb_ranking_orig_only!CO8</f>
        <v>-0.8</v>
      </c>
      <c r="AG5" s="186">
        <f ca="1">uxb_ranking_orig_only!CV8</f>
        <v>-1</v>
      </c>
      <c r="AI5" s="186">
        <f ca="1">uxb_ranking_orig_only!DK8</f>
        <v>0</v>
      </c>
      <c r="AK5" s="190">
        <f ca="1">IF($A5=0,"",uxb_ranking_orig_only!BG8)</f>
        <v>1</v>
      </c>
      <c r="AL5" s="190" t="str">
        <f ca="1">uxb_ranking_orig_only!DD8</f>
        <v>-</v>
      </c>
      <c r="AM5" s="14"/>
      <c r="AN5" s="14" t="str">
        <f ca="1">uxb_ranking_orig_only!AL8</f>
        <v>Ecuador</v>
      </c>
      <c r="AO5" s="20">
        <f ca="1">uxb_ranking_orig_only!AS8</f>
        <v>83.3</v>
      </c>
      <c r="AP5" s="13" t="str">
        <f ca="1">uxb_ranking_orig_only!CP8</f>
        <v>+8.3</v>
      </c>
      <c r="AQ5" s="186">
        <f ca="1">uxb_ranking_orig_only!CW8</f>
        <v>1</v>
      </c>
    </row>
    <row r="6" spans="1:107" ht="18" customHeight="1">
      <c r="A6" s="106">
        <v>1</v>
      </c>
      <c r="B6" s="106"/>
      <c r="C6" s="186">
        <f ca="1">uxb_ranking_orig_only!DH9</f>
        <v>-1</v>
      </c>
      <c r="E6" s="190">
        <f ca="1">IF(A6=0,"",uxb_ranking_orig_only!BD9)</f>
        <v>2</v>
      </c>
      <c r="F6" s="190" t="str">
        <f ca="1">uxb_ranking_orig_only!DA9</f>
        <v>-1</v>
      </c>
      <c r="G6" s="14"/>
      <c r="H6" s="14" t="str">
        <f ca="1">uxb_ranking_orig_only!AI9</f>
        <v>Bolivia</v>
      </c>
      <c r="I6" s="15">
        <f ca="1">uxb_ranking_orig_only!AP9</f>
        <v>74.400000000000006</v>
      </c>
      <c r="J6" s="13" t="str">
        <f ca="1">uxb_ranking_orig_only!CM9</f>
        <v>-5.0</v>
      </c>
      <c r="K6">
        <f ca="1">uxb_ranking_orig_only!CT9</f>
        <v>-1</v>
      </c>
      <c r="M6">
        <f ca="1">uxb_ranking_orig_only!DI9</f>
        <v>1</v>
      </c>
      <c r="O6" s="190" t="str">
        <f ca="1">IF($A6=0,"",uxb_ranking_orig_only!BE9)</f>
        <v>=1</v>
      </c>
      <c r="P6" s="190" t="str">
        <f ca="1">uxb_ranking_orig_only!DB9</f>
        <v>+1</v>
      </c>
      <c r="Q6" s="14"/>
      <c r="R6" s="14" t="str">
        <f ca="1">uxb_ranking_orig_only!AJ9</f>
        <v>Peru</v>
      </c>
      <c r="S6" s="20">
        <f ca="1">uxb_ranking_orig_only!AQ9</f>
        <v>87.5</v>
      </c>
      <c r="T6" s="13" t="str">
        <f ca="1">uxb_ranking_orig_only!CN9</f>
        <v>+6.2</v>
      </c>
      <c r="U6">
        <f ca="1">uxb_ranking_orig_only!CU9</f>
        <v>1</v>
      </c>
      <c r="Y6">
        <f ca="1">uxb_ranking_orig_only!DJ9</f>
        <v>1</v>
      </c>
      <c r="AA6" s="190">
        <f ca="1">IF($A6=0,"",uxb_ranking_orig_only!BF9)</f>
        <v>2</v>
      </c>
      <c r="AB6" s="190" t="str">
        <f ca="1">uxb_ranking_orig_only!DC9</f>
        <v>+1</v>
      </c>
      <c r="AC6" s="14"/>
      <c r="AD6" s="14" t="str">
        <f ca="1">uxb_ranking_orig_only!AK9</f>
        <v>Mexico</v>
      </c>
      <c r="AE6" s="20">
        <f ca="1">uxb_ranking_orig_only!AR9</f>
        <v>58.3</v>
      </c>
      <c r="AF6" s="13" t="str">
        <f ca="1">uxb_ranking_orig_only!CO9</f>
        <v>-</v>
      </c>
      <c r="AG6" s="186">
        <f ca="1">uxb_ranking_orig_only!CV9</f>
        <v>0</v>
      </c>
      <c r="AI6" s="186">
        <f ca="1">uxb_ranking_orig_only!DK9</f>
        <v>-1</v>
      </c>
      <c r="AK6" s="190" t="str">
        <f ca="1">IF($A6=0,"",uxb_ranking_orig_only!BG9)</f>
        <v>=2</v>
      </c>
      <c r="AL6" s="190" t="str">
        <f ca="1">uxb_ranking_orig_only!DD9</f>
        <v>-1</v>
      </c>
      <c r="AM6" s="14"/>
      <c r="AN6" s="14" t="str">
        <f ca="1">uxb_ranking_orig_only!AL9</f>
        <v>Bolivia</v>
      </c>
      <c r="AO6" s="20">
        <f ca="1">uxb_ranking_orig_only!AS9</f>
        <v>75</v>
      </c>
      <c r="AP6" s="13" t="str">
        <f ca="1">uxb_ranking_orig_only!CP9</f>
        <v>-</v>
      </c>
      <c r="AQ6" s="186">
        <f ca="1">uxb_ranking_orig_only!CW9</f>
        <v>0</v>
      </c>
    </row>
    <row r="7" spans="1:107" ht="18" customHeight="1">
      <c r="A7" s="106">
        <v>1</v>
      </c>
      <c r="B7" s="106"/>
      <c r="C7" s="186">
        <f ca="1">uxb_ranking_orig_only!DH10</f>
        <v>0</v>
      </c>
      <c r="E7" s="190">
        <f ca="1">IF(A7=0,"",uxb_ranking_orig_only!BD10)</f>
        <v>3</v>
      </c>
      <c r="F7" s="190" t="str">
        <f ca="1">uxb_ranking_orig_only!DA10</f>
        <v>-</v>
      </c>
      <c r="G7" s="14"/>
      <c r="H7" s="14" t="str">
        <f ca="1">uxb_ranking_orig_only!AI10</f>
        <v>Ecuador</v>
      </c>
      <c r="I7" s="15">
        <f ca="1">uxb_ranking_orig_only!AP10</f>
        <v>69.7</v>
      </c>
      <c r="J7" s="13" t="str">
        <f ca="1">uxb_ranking_orig_only!CM10</f>
        <v>+1.4</v>
      </c>
      <c r="K7">
        <f ca="1">uxb_ranking_orig_only!CT10</f>
        <v>1</v>
      </c>
      <c r="M7">
        <f ca="1">uxb_ranking_orig_only!DI10</f>
        <v>0</v>
      </c>
      <c r="O7" s="190">
        <f ca="1">IF($A7=0,"",uxb_ranking_orig_only!BE10)</f>
        <v>3</v>
      </c>
      <c r="P7" s="190" t="str">
        <f ca="1">uxb_ranking_orig_only!DB10</f>
        <v>-</v>
      </c>
      <c r="Q7" s="14"/>
      <c r="R7" s="14" t="str">
        <f ca="1">uxb_ranking_orig_only!AJ10</f>
        <v>Ecuador</v>
      </c>
      <c r="S7" s="20">
        <f ca="1">uxb_ranking_orig_only!AQ10</f>
        <v>75</v>
      </c>
      <c r="T7" s="13" t="str">
        <f ca="1">uxb_ranking_orig_only!CN10</f>
        <v>-</v>
      </c>
      <c r="U7">
        <f ca="1">uxb_ranking_orig_only!CU10</f>
        <v>0</v>
      </c>
      <c r="Y7">
        <f ca="1">uxb_ranking_orig_only!DJ10</f>
        <v>1</v>
      </c>
      <c r="AA7" s="190">
        <f ca="1">IF($A7=0,"",uxb_ranking_orig_only!BF10)</f>
        <v>3</v>
      </c>
      <c r="AB7" s="190" t="str">
        <f ca="1">uxb_ranking_orig_only!DC10</f>
        <v>+1</v>
      </c>
      <c r="AC7" s="14"/>
      <c r="AD7" s="14" t="str">
        <f ca="1">uxb_ranking_orig_only!AK10</f>
        <v>Peru</v>
      </c>
      <c r="AE7" s="20">
        <f ca="1">uxb_ranking_orig_only!AR10</f>
        <v>58</v>
      </c>
      <c r="AF7" s="13" t="str">
        <f ca="1">uxb_ranking_orig_only!CO10</f>
        <v>+0.1</v>
      </c>
      <c r="AG7" s="186">
        <f ca="1">uxb_ranking_orig_only!CV10</f>
        <v>1</v>
      </c>
      <c r="AI7" s="186">
        <f ca="1">uxb_ranking_orig_only!DK10</f>
        <v>-1</v>
      </c>
      <c r="AK7" s="190" t="str">
        <f ca="1">IF($A7=0,"",uxb_ranking_orig_only!BG10)</f>
        <v>=2</v>
      </c>
      <c r="AL7" s="190" t="str">
        <f ca="1">uxb_ranking_orig_only!DD10</f>
        <v>-1</v>
      </c>
      <c r="AM7" s="14"/>
      <c r="AN7" s="14" t="str">
        <f ca="1">uxb_ranking_orig_only!AL10</f>
        <v>Peru</v>
      </c>
      <c r="AO7" s="20">
        <f ca="1">uxb_ranking_orig_only!AS10</f>
        <v>75</v>
      </c>
      <c r="AP7" s="13" t="str">
        <f ca="1">uxb_ranking_orig_only!CP10</f>
        <v>-</v>
      </c>
      <c r="AQ7" s="186">
        <f ca="1">uxb_ranking_orig_only!CW10</f>
        <v>0</v>
      </c>
    </row>
    <row r="8" spans="1:107" ht="18" customHeight="1">
      <c r="A8" s="106">
        <v>1</v>
      </c>
      <c r="B8" s="106"/>
      <c r="C8" s="186">
        <f ca="1">uxb_ranking_orig_only!DH11</f>
        <v>0</v>
      </c>
      <c r="E8" s="190">
        <f ca="1">IF(A8=0,"",uxb_ranking_orig_only!BD11)</f>
        <v>4</v>
      </c>
      <c r="F8" s="190" t="str">
        <f ca="1">uxb_ranking_orig_only!DA11</f>
        <v>-</v>
      </c>
      <c r="G8" s="14"/>
      <c r="H8" s="14" t="str">
        <f ca="1">uxb_ranking_orig_only!AI11</f>
        <v>El Salvador</v>
      </c>
      <c r="I8" s="15">
        <f ca="1">uxb_ranking_orig_only!AP11</f>
        <v>59</v>
      </c>
      <c r="J8" s="13" t="str">
        <f ca="1">uxb_ranking_orig_only!CM11</f>
        <v>-2.5</v>
      </c>
      <c r="K8">
        <f ca="1">uxb_ranking_orig_only!CT11</f>
        <v>-1</v>
      </c>
      <c r="M8">
        <f ca="1">uxb_ranking_orig_only!DI11</f>
        <v>1</v>
      </c>
      <c r="O8" s="190" t="str">
        <f ca="1">IF($A8=0,"",uxb_ranking_orig_only!BE11)</f>
        <v>=4</v>
      </c>
      <c r="P8" s="190" t="str">
        <f ca="1">uxb_ranking_orig_only!DB11</f>
        <v>+4</v>
      </c>
      <c r="Q8" s="14"/>
      <c r="R8" s="14" t="str">
        <f ca="1">uxb_ranking_orig_only!AJ11</f>
        <v>Colombia</v>
      </c>
      <c r="S8" s="20">
        <f ca="1">uxb_ranking_orig_only!AQ11</f>
        <v>62.5</v>
      </c>
      <c r="T8" s="13" t="str">
        <f ca="1">uxb_ranking_orig_only!CN11</f>
        <v>+12.5</v>
      </c>
      <c r="U8">
        <f ca="1">uxb_ranking_orig_only!CU11</f>
        <v>1</v>
      </c>
      <c r="Y8">
        <f ca="1">uxb_ranking_orig_only!DJ11</f>
        <v>-1</v>
      </c>
      <c r="AA8" s="190">
        <f ca="1">IF($A8=0,"",uxb_ranking_orig_only!BF11)</f>
        <v>4</v>
      </c>
      <c r="AB8" s="190" t="str">
        <f ca="1">uxb_ranking_orig_only!DC11</f>
        <v>-2</v>
      </c>
      <c r="AC8" s="14"/>
      <c r="AD8" s="14" t="str">
        <f ca="1">uxb_ranking_orig_only!AK11</f>
        <v>Brazil</v>
      </c>
      <c r="AE8" s="20">
        <f ca="1">uxb_ranking_orig_only!AR11</f>
        <v>53.6</v>
      </c>
      <c r="AF8" s="13" t="str">
        <f ca="1">uxb_ranking_orig_only!CO11</f>
        <v>-8.5</v>
      </c>
      <c r="AG8" s="186">
        <f ca="1">uxb_ranking_orig_only!CV11</f>
        <v>-1</v>
      </c>
      <c r="AI8" s="186">
        <f ca="1">uxb_ranking_orig_only!DK11</f>
        <v>1</v>
      </c>
      <c r="AK8" s="190" t="str">
        <f ca="1">IF($A8=0,"",uxb_ranking_orig_only!BG11)</f>
        <v>=4</v>
      </c>
      <c r="AL8" s="190" t="str">
        <f ca="1">uxb_ranking_orig_only!DD11</f>
        <v>+1</v>
      </c>
      <c r="AM8" s="14"/>
      <c r="AN8" s="14" t="str">
        <f ca="1">uxb_ranking_orig_only!AL11</f>
        <v>El Salvador</v>
      </c>
      <c r="AO8" s="20">
        <f ca="1">uxb_ranking_orig_only!AS11</f>
        <v>66.7</v>
      </c>
      <c r="AP8" s="13" t="str">
        <f ca="1">uxb_ranking_orig_only!CP11</f>
        <v>-</v>
      </c>
      <c r="AQ8" s="186">
        <f ca="1">uxb_ranking_orig_only!CW11</f>
        <v>0</v>
      </c>
    </row>
    <row r="9" spans="1:107" ht="18" customHeight="1">
      <c r="A9" s="106">
        <v>1</v>
      </c>
      <c r="B9" s="106"/>
      <c r="C9" s="186">
        <f ca="1">uxb_ranking_orig_only!DH12</f>
        <v>1</v>
      </c>
      <c r="E9" s="190">
        <f ca="1">IF(A9=0,"",uxb_ranking_orig_only!BD12)</f>
        <v>5</v>
      </c>
      <c r="F9" s="190" t="str">
        <f ca="1">uxb_ranking_orig_only!DA12</f>
        <v>+5</v>
      </c>
      <c r="G9" s="14"/>
      <c r="H9" s="14" t="str">
        <f ca="1">uxb_ranking_orig_only!AI12</f>
        <v>Colombia</v>
      </c>
      <c r="I9" s="15">
        <f ca="1">uxb_ranking_orig_only!AP12</f>
        <v>58.6</v>
      </c>
      <c r="J9" s="13" t="str">
        <f ca="1">uxb_ranking_orig_only!CM12</f>
        <v>+12.5</v>
      </c>
      <c r="K9">
        <f ca="1">uxb_ranking_orig_only!CT12</f>
        <v>1</v>
      </c>
      <c r="M9">
        <f ca="1">uxb_ranking_orig_only!DI12</f>
        <v>0</v>
      </c>
      <c r="O9" s="190" t="str">
        <f ca="1">IF($A9=0,"",uxb_ranking_orig_only!BE12)</f>
        <v>=4</v>
      </c>
      <c r="P9" s="190" t="str">
        <f ca="1">uxb_ranking_orig_only!DB12</f>
        <v>-</v>
      </c>
      <c r="Q9" s="14"/>
      <c r="R9" s="14" t="str">
        <f ca="1">uxb_ranking_orig_only!AJ12</f>
        <v>Paraguay</v>
      </c>
      <c r="S9" s="20">
        <f ca="1">uxb_ranking_orig_only!AQ12</f>
        <v>62.5</v>
      </c>
      <c r="T9" s="13" t="str">
        <f ca="1">uxb_ranking_orig_only!CN12</f>
        <v>-</v>
      </c>
      <c r="U9">
        <f ca="1">uxb_ranking_orig_only!CU12</f>
        <v>0</v>
      </c>
      <c r="Y9">
        <f ca="1">uxb_ranking_orig_only!DJ12</f>
        <v>1</v>
      </c>
      <c r="AA9" s="190">
        <f ca="1">IF($A9=0,"",uxb_ranking_orig_only!BF12)</f>
        <v>5</v>
      </c>
      <c r="AB9" s="190" t="str">
        <f ca="1">uxb_ranking_orig_only!DC12</f>
        <v>+2</v>
      </c>
      <c r="AC9" s="14"/>
      <c r="AD9" s="14" t="str">
        <f ca="1">uxb_ranking_orig_only!AK12</f>
        <v>Colombia</v>
      </c>
      <c r="AE9" s="20">
        <f ca="1">uxb_ranking_orig_only!AR12</f>
        <v>51.4</v>
      </c>
      <c r="AF9" s="13" t="str">
        <f ca="1">uxb_ranking_orig_only!CO12</f>
        <v>+4.3</v>
      </c>
      <c r="AG9" s="186">
        <f ca="1">uxb_ranking_orig_only!CV12</f>
        <v>1</v>
      </c>
      <c r="AI9" s="186">
        <f ca="1">uxb_ranking_orig_only!DK12</f>
        <v>1</v>
      </c>
      <c r="AK9" s="190" t="str">
        <f ca="1">IF($A9=0,"",uxb_ranking_orig_only!BG12)</f>
        <v>=4</v>
      </c>
      <c r="AL9" s="190" t="str">
        <f ca="1">uxb_ranking_orig_only!DD12</f>
        <v>+2</v>
      </c>
      <c r="AM9" s="14"/>
      <c r="AN9" s="14" t="str">
        <f ca="1">uxb_ranking_orig_only!AL12</f>
        <v>Nicaragua</v>
      </c>
      <c r="AO9" s="20">
        <f ca="1">uxb_ranking_orig_only!AS12</f>
        <v>66.7</v>
      </c>
      <c r="AP9" s="13" t="str">
        <f ca="1">uxb_ranking_orig_only!CP12</f>
        <v>+8.4</v>
      </c>
      <c r="AQ9" s="186">
        <f ca="1">uxb_ranking_orig_only!CW12</f>
        <v>1</v>
      </c>
    </row>
    <row r="10" spans="1:107" ht="18" customHeight="1">
      <c r="A10" s="106">
        <v>1</v>
      </c>
      <c r="B10" s="106"/>
      <c r="C10" s="186">
        <f ca="1">uxb_ranking_orig_only!DH13</f>
        <v>0</v>
      </c>
      <c r="E10" s="190">
        <f ca="1">IF(A10=0,"",uxb_ranking_orig_only!BD13)</f>
        <v>6</v>
      </c>
      <c r="F10" s="190" t="str">
        <f ca="1">uxb_ranking_orig_only!DA13</f>
        <v>-</v>
      </c>
      <c r="G10" s="14"/>
      <c r="H10" s="14" t="str">
        <f ca="1">uxb_ranking_orig_only!AI13</f>
        <v>Nicaragua</v>
      </c>
      <c r="I10" s="15">
        <f ca="1">uxb_ranking_orig_only!AP13</f>
        <v>58</v>
      </c>
      <c r="J10" s="13" t="str">
        <f ca="1">uxb_ranking_orig_only!CM13</f>
        <v>+4.2</v>
      </c>
      <c r="K10">
        <f ca="1">uxb_ranking_orig_only!CT13</f>
        <v>1</v>
      </c>
      <c r="M10">
        <f ca="1">uxb_ranking_orig_only!DI13</f>
        <v>-1</v>
      </c>
      <c r="O10" s="190" t="str">
        <f ca="1">IF($A10=0,"",uxb_ranking_orig_only!BE13)</f>
        <v>=6</v>
      </c>
      <c r="P10" s="190" t="str">
        <f ca="1">uxb_ranking_orig_only!DB13</f>
        <v>-2</v>
      </c>
      <c r="Q10" s="14"/>
      <c r="R10" s="14" t="str">
        <f ca="1">uxb_ranking_orig_only!AJ13</f>
        <v>El Salvador</v>
      </c>
      <c r="S10" s="20">
        <f ca="1">uxb_ranking_orig_only!AQ13</f>
        <v>56.3</v>
      </c>
      <c r="T10" s="13" t="str">
        <f ca="1">uxb_ranking_orig_only!CN13</f>
        <v>-6.2</v>
      </c>
      <c r="U10">
        <f ca="1">uxb_ranking_orig_only!CU13</f>
        <v>-1</v>
      </c>
      <c r="Y10">
        <f ca="1">uxb_ranking_orig_only!DJ13</f>
        <v>0</v>
      </c>
      <c r="AA10" s="190">
        <f ca="1">IF($A10=0,"",uxb_ranking_orig_only!BF13)</f>
        <v>6</v>
      </c>
      <c r="AB10" s="190" t="str">
        <f ca="1">uxb_ranking_orig_only!DC13</f>
        <v>-</v>
      </c>
      <c r="AC10" s="14"/>
      <c r="AD10" s="14" t="str">
        <f ca="1">uxb_ranking_orig_only!AK13</f>
        <v>El Salvador</v>
      </c>
      <c r="AE10" s="20">
        <f ca="1">uxb_ranking_orig_only!AR13</f>
        <v>49.2</v>
      </c>
      <c r="AF10" s="13" t="str">
        <f ca="1">uxb_ranking_orig_only!CO13</f>
        <v>-</v>
      </c>
      <c r="AG10" s="186">
        <f ca="1">uxb_ranking_orig_only!CV13</f>
        <v>0</v>
      </c>
      <c r="AI10" s="186">
        <f ca="1">uxb_ranking_orig_only!DK13</f>
        <v>1</v>
      </c>
      <c r="AK10" s="190" t="str">
        <f ca="1">IF($A10=0,"",uxb_ranking_orig_only!BG13)</f>
        <v>=6</v>
      </c>
      <c r="AL10" s="190" t="str">
        <f ca="1">uxb_ranking_orig_only!DD13</f>
        <v>+2</v>
      </c>
      <c r="AM10" s="14"/>
      <c r="AN10" s="14" t="str">
        <f ca="1">uxb_ranking_orig_only!AL13</f>
        <v>Colombia</v>
      </c>
      <c r="AO10" s="20">
        <f ca="1">uxb_ranking_orig_only!AS13</f>
        <v>58.3</v>
      </c>
      <c r="AP10" s="13" t="str">
        <f ca="1">uxb_ranking_orig_only!CP13</f>
        <v>+16.6</v>
      </c>
      <c r="AQ10" s="186">
        <f ca="1">uxb_ranking_orig_only!CW13</f>
        <v>1</v>
      </c>
    </row>
    <row r="11" spans="1:107" ht="18" customHeight="1">
      <c r="A11" s="106">
        <v>1</v>
      </c>
      <c r="B11" s="106"/>
      <c r="C11" s="186">
        <f ca="1">uxb_ranking_orig_only!DH14</f>
        <v>1</v>
      </c>
      <c r="E11" s="190">
        <f ca="1">IF(A11=0,"",uxb_ranking_orig_only!BD14)</f>
        <v>7</v>
      </c>
      <c r="F11" s="190" t="str">
        <f ca="1">uxb_ranking_orig_only!DA14</f>
        <v>+4</v>
      </c>
      <c r="G11" s="14"/>
      <c r="H11" s="14" t="str">
        <f ca="1">uxb_ranking_orig_only!AI14</f>
        <v>Guatemala</v>
      </c>
      <c r="I11" s="15">
        <f ca="1">uxb_ranking_orig_only!AP14</f>
        <v>54</v>
      </c>
      <c r="J11" s="13" t="str">
        <f ca="1">uxb_ranking_orig_only!CM14</f>
        <v>+10.0</v>
      </c>
      <c r="K11">
        <f ca="1">uxb_ranking_orig_only!CT14</f>
        <v>1</v>
      </c>
      <c r="M11">
        <f ca="1">uxb_ranking_orig_only!DI14</f>
        <v>0</v>
      </c>
      <c r="O11" s="190" t="str">
        <f ca="1">IF($A11=0,"",uxb_ranking_orig_only!BE14)</f>
        <v>=6</v>
      </c>
      <c r="P11" s="190" t="str">
        <f ca="1">uxb_ranking_orig_only!DB14</f>
        <v>-</v>
      </c>
      <c r="Q11" s="14"/>
      <c r="R11" s="14" t="str">
        <f ca="1">uxb_ranking_orig_only!AJ14</f>
        <v>Guatemala</v>
      </c>
      <c r="S11" s="20">
        <f ca="1">uxb_ranking_orig_only!AQ14</f>
        <v>56.3</v>
      </c>
      <c r="T11" s="13" t="str">
        <f ca="1">uxb_ranking_orig_only!CN14</f>
        <v>-</v>
      </c>
      <c r="U11">
        <f ca="1">uxb_ranking_orig_only!CU14</f>
        <v>0</v>
      </c>
      <c r="Y11">
        <f ca="1">uxb_ranking_orig_only!DJ14</f>
        <v>0</v>
      </c>
      <c r="AA11" s="190">
        <f ca="1">IF($A11=0,"",uxb_ranking_orig_only!BF14)</f>
        <v>7</v>
      </c>
      <c r="AB11" s="190" t="str">
        <f ca="1">uxb_ranking_orig_only!DC14</f>
        <v>-</v>
      </c>
      <c r="AC11" s="14"/>
      <c r="AD11" s="14" t="str">
        <f ca="1">uxb_ranking_orig_only!AK14</f>
        <v>Bolivia</v>
      </c>
      <c r="AE11" s="20">
        <f ca="1">uxb_ranking_orig_only!AR14</f>
        <v>46.9</v>
      </c>
      <c r="AF11" s="13" t="str">
        <f ca="1">uxb_ranking_orig_only!CO14</f>
        <v>-0.2</v>
      </c>
      <c r="AG11" s="186">
        <f ca="1">uxb_ranking_orig_only!CV14</f>
        <v>-1</v>
      </c>
      <c r="AI11" s="186">
        <f ca="1">uxb_ranking_orig_only!DK14</f>
        <v>1</v>
      </c>
      <c r="AK11" s="190" t="str">
        <f ca="1">IF($A11=0,"",uxb_ranking_orig_only!BG14)</f>
        <v>=6</v>
      </c>
      <c r="AL11" s="190" t="str">
        <f ca="1">uxb_ranking_orig_only!DD14</f>
        <v>+4</v>
      </c>
      <c r="AM11" s="14"/>
      <c r="AN11" s="14" t="str">
        <f ca="1">uxb_ranking_orig_only!AL14</f>
        <v>Guatemala</v>
      </c>
      <c r="AO11" s="20">
        <f ca="1">uxb_ranking_orig_only!AS14</f>
        <v>58.3</v>
      </c>
      <c r="AP11" s="13" t="str">
        <f ca="1">uxb_ranking_orig_only!CP14</f>
        <v>+25.0</v>
      </c>
      <c r="AQ11" s="186">
        <f ca="1">uxb_ranking_orig_only!CW14</f>
        <v>1</v>
      </c>
    </row>
    <row r="12" spans="1:107" ht="18" customHeight="1">
      <c r="A12" s="106">
        <v>1</v>
      </c>
      <c r="B12" s="106"/>
      <c r="C12" s="186">
        <f ca="1">uxb_ranking_orig_only!DH15</f>
        <v>-1</v>
      </c>
      <c r="E12" s="190">
        <f ca="1">IF(A12=0,"",uxb_ranking_orig_only!BD15)</f>
        <v>8</v>
      </c>
      <c r="F12" s="190" t="str">
        <f ca="1">uxb_ranking_orig_only!DA15</f>
        <v>-1</v>
      </c>
      <c r="G12" s="14"/>
      <c r="H12" s="14" t="str">
        <f ca="1">uxb_ranking_orig_only!AI15</f>
        <v>Paraguay</v>
      </c>
      <c r="I12" s="15">
        <f ca="1">uxb_ranking_orig_only!AP15</f>
        <v>49.6</v>
      </c>
      <c r="J12" s="13" t="str">
        <f ca="1">uxb_ranking_orig_only!CM15</f>
        <v>-3.3</v>
      </c>
      <c r="K12">
        <f ca="1">uxb_ranking_orig_only!CT15</f>
        <v>-1</v>
      </c>
      <c r="M12">
        <f ca="1">uxb_ranking_orig_only!DI15</f>
        <v>1</v>
      </c>
      <c r="O12" s="190" t="str">
        <f ca="1">IF($A12=0,"",uxb_ranking_orig_only!BE15)</f>
        <v>=6</v>
      </c>
      <c r="P12" s="190" t="str">
        <f ca="1">uxb_ranking_orig_only!DB15</f>
        <v>+2</v>
      </c>
      <c r="Q12" s="14"/>
      <c r="R12" s="14" t="str">
        <f ca="1">uxb_ranking_orig_only!AJ15</f>
        <v>Mexico</v>
      </c>
      <c r="S12" s="20">
        <f ca="1">uxb_ranking_orig_only!AQ15</f>
        <v>56.3</v>
      </c>
      <c r="T12" s="13" t="str">
        <f ca="1">uxb_ranking_orig_only!CN15</f>
        <v>+6.3</v>
      </c>
      <c r="U12">
        <f ca="1">uxb_ranking_orig_only!CU15</f>
        <v>1</v>
      </c>
      <c r="Y12">
        <f ca="1">uxb_ranking_orig_only!DJ15</f>
        <v>-1</v>
      </c>
      <c r="AA12" s="190">
        <f ca="1">IF($A12=0,"",uxb_ranking_orig_only!BF15)</f>
        <v>8</v>
      </c>
      <c r="AB12" s="190" t="str">
        <f ca="1">uxb_ranking_orig_only!DC15</f>
        <v>-3</v>
      </c>
      <c r="AC12" s="14"/>
      <c r="AD12" s="14" t="str">
        <f ca="1">uxb_ranking_orig_only!AK15</f>
        <v>Uruguay</v>
      </c>
      <c r="AE12" s="20">
        <f ca="1">uxb_ranking_orig_only!AR15</f>
        <v>45.8</v>
      </c>
      <c r="AF12" s="13" t="str">
        <f ca="1">uxb_ranking_orig_only!CO15</f>
        <v>-8.4</v>
      </c>
      <c r="AG12" s="186">
        <f ca="1">uxb_ranking_orig_only!CV15</f>
        <v>-1</v>
      </c>
      <c r="AI12" s="186">
        <f ca="1">uxb_ranking_orig_only!DK15</f>
        <v>-1</v>
      </c>
      <c r="AK12" s="190">
        <f ca="1">IF($A12=0,"",uxb_ranking_orig_only!BG15)</f>
        <v>8</v>
      </c>
      <c r="AL12" s="190" t="str">
        <f ca="1">uxb_ranking_orig_only!DD15</f>
        <v>-7</v>
      </c>
      <c r="AM12" s="14"/>
      <c r="AN12" s="14" t="str">
        <f ca="1">uxb_ranking_orig_only!AL15</f>
        <v>Dominican Rep</v>
      </c>
      <c r="AO12" s="20">
        <f ca="1">uxb_ranking_orig_only!AS15</f>
        <v>50</v>
      </c>
      <c r="AP12" s="13" t="str">
        <f ca="1">uxb_ranking_orig_only!CP15</f>
        <v>-25.0</v>
      </c>
      <c r="AQ12" s="186">
        <f ca="1">uxb_ranking_orig_only!CW15</f>
        <v>-1</v>
      </c>
    </row>
    <row r="13" spans="1:107" ht="18" customHeight="1">
      <c r="A13" s="106">
        <v>1</v>
      </c>
      <c r="B13" s="106"/>
      <c r="C13" s="186">
        <f ca="1">uxb_ranking_orig_only!DH16</f>
        <v>-1</v>
      </c>
      <c r="E13" s="190">
        <f ca="1">IF(A13=0,"",uxb_ranking_orig_only!BD16)</f>
        <v>9</v>
      </c>
      <c r="F13" s="190" t="str">
        <f ca="1">uxb_ranking_orig_only!DA16</f>
        <v>-4</v>
      </c>
      <c r="G13" s="14"/>
      <c r="H13" s="14" t="str">
        <f ca="1">uxb_ranking_orig_only!AI16</f>
        <v>Dominican Rep</v>
      </c>
      <c r="I13" s="15">
        <f ca="1">uxb_ranking_orig_only!AP16</f>
        <v>48</v>
      </c>
      <c r="J13" s="13" t="str">
        <f ca="1">uxb_ranking_orig_only!CM16</f>
        <v>-9.5</v>
      </c>
      <c r="K13">
        <f ca="1">uxb_ranking_orig_only!CT16</f>
        <v>-1</v>
      </c>
      <c r="M13">
        <f ca="1">uxb_ranking_orig_only!DI16</f>
        <v>0</v>
      </c>
      <c r="O13" s="190" t="str">
        <f ca="1">IF($A13=0,"",uxb_ranking_orig_only!BE16)</f>
        <v>=6</v>
      </c>
      <c r="P13" s="190" t="str">
        <f ca="1">uxb_ranking_orig_only!DB16</f>
        <v>-</v>
      </c>
      <c r="Q13" s="14"/>
      <c r="R13" s="14" t="str">
        <f ca="1">uxb_ranking_orig_only!AJ16</f>
        <v>Nicaragua</v>
      </c>
      <c r="S13" s="20">
        <f ca="1">uxb_ranking_orig_only!AQ16</f>
        <v>56.3</v>
      </c>
      <c r="T13" s="13" t="str">
        <f ca="1">uxb_ranking_orig_only!CN16</f>
        <v>-</v>
      </c>
      <c r="U13">
        <f ca="1">uxb_ranking_orig_only!CU16</f>
        <v>0</v>
      </c>
      <c r="Y13">
        <f ca="1">uxb_ranking_orig_only!DJ16</f>
        <v>1</v>
      </c>
      <c r="AA13" s="190">
        <f ca="1">IF($A13=0,"",uxb_ranking_orig_only!BF16)</f>
        <v>9</v>
      </c>
      <c r="AB13" s="190" t="str">
        <f ca="1">uxb_ranking_orig_only!DC16</f>
        <v>+4</v>
      </c>
      <c r="AC13" s="14"/>
      <c r="AD13" s="14" t="str">
        <f ca="1">uxb_ranking_orig_only!AK16</f>
        <v>Nicaragua</v>
      </c>
      <c r="AE13" s="20">
        <f ca="1">uxb_ranking_orig_only!AR16</f>
        <v>44.2</v>
      </c>
      <c r="AF13" s="13" t="str">
        <f ca="1">uxb_ranking_orig_only!CO16</f>
        <v>+4.2</v>
      </c>
      <c r="AG13" s="186">
        <f ca="1">uxb_ranking_orig_only!CV16</f>
        <v>1</v>
      </c>
      <c r="AI13" s="186">
        <f ca="1">uxb_ranking_orig_only!DK16</f>
        <v>-1</v>
      </c>
      <c r="AK13" s="190">
        <f ca="1">IF($A13=0,"",uxb_ranking_orig_only!BG16)</f>
        <v>9</v>
      </c>
      <c r="AL13" s="190" t="str">
        <f ca="1">uxb_ranking_orig_only!DD16</f>
        <v>-2</v>
      </c>
      <c r="AM13" s="14"/>
      <c r="AN13" s="14" t="str">
        <f ca="1">uxb_ranking_orig_only!AL16</f>
        <v>Paraguay</v>
      </c>
      <c r="AO13" s="20">
        <f ca="1">uxb_ranking_orig_only!AS16</f>
        <v>41.7</v>
      </c>
      <c r="AP13" s="13" t="str">
        <f ca="1">uxb_ranking_orig_only!CP16</f>
        <v>-8.3</v>
      </c>
      <c r="AQ13" s="186">
        <f ca="1">uxb_ranking_orig_only!CW16</f>
        <v>-1</v>
      </c>
    </row>
    <row r="14" spans="1:107" ht="18" customHeight="1">
      <c r="A14" s="106">
        <v>1</v>
      </c>
      <c r="B14" s="106"/>
      <c r="C14" s="186">
        <f ca="1">uxb_ranking_orig_only!DH17</f>
        <v>-1</v>
      </c>
      <c r="E14" s="190">
        <f ca="1">IF(A14=0,"",uxb_ranking_orig_only!BD17)</f>
        <v>10</v>
      </c>
      <c r="F14" s="190" t="str">
        <f ca="1">uxb_ranking_orig_only!DA17</f>
        <v>-2</v>
      </c>
      <c r="G14" s="14"/>
      <c r="H14" s="14" t="str">
        <f ca="1">uxb_ranking_orig_only!AI17</f>
        <v>Mexico</v>
      </c>
      <c r="I14" s="15">
        <f ca="1">uxb_ranking_orig_only!AP17</f>
        <v>47.5</v>
      </c>
      <c r="J14" s="13" t="str">
        <f ca="1">uxb_ranking_orig_only!CM17</f>
        <v>-0.8</v>
      </c>
      <c r="K14">
        <f ca="1">uxb_ranking_orig_only!CT17</f>
        <v>-1</v>
      </c>
      <c r="M14">
        <f ca="1">uxb_ranking_orig_only!DI17</f>
        <v>-1</v>
      </c>
      <c r="O14" s="190">
        <f ca="1">IF($A14=0,"",uxb_ranking_orig_only!BE17)</f>
        <v>10</v>
      </c>
      <c r="P14" s="190" t="str">
        <f ca="1">uxb_ranking_orig_only!DB17</f>
        <v>-2</v>
      </c>
      <c r="Q14" s="14"/>
      <c r="R14" s="14" t="str">
        <f ca="1">uxb_ranking_orig_only!AJ17</f>
        <v>Dominican Rep</v>
      </c>
      <c r="S14" s="20">
        <f ca="1">uxb_ranking_orig_only!AQ17</f>
        <v>50</v>
      </c>
      <c r="T14" s="13" t="str">
        <f ca="1">uxb_ranking_orig_only!CN17</f>
        <v>-</v>
      </c>
      <c r="U14">
        <f ca="1">uxb_ranking_orig_only!CU17</f>
        <v>0</v>
      </c>
      <c r="Y14">
        <f ca="1">uxb_ranking_orig_only!DJ17</f>
        <v>0</v>
      </c>
      <c r="AA14" s="190">
        <f ca="1">IF($A14=0,"",uxb_ranking_orig_only!BF17)</f>
        <v>10</v>
      </c>
      <c r="AB14" s="190" t="str">
        <f ca="1">uxb_ranking_orig_only!DC17</f>
        <v>-</v>
      </c>
      <c r="AC14" s="14"/>
      <c r="AD14" s="14" t="str">
        <f ca="1">uxb_ranking_orig_only!AK17</f>
        <v>Venezuela</v>
      </c>
      <c r="AE14" s="20">
        <f ca="1">uxb_ranking_orig_only!AR17</f>
        <v>41.4</v>
      </c>
      <c r="AF14" s="13" t="str">
        <f ca="1">uxb_ranking_orig_only!CO17</f>
        <v>+0.1</v>
      </c>
      <c r="AG14" s="186">
        <f ca="1">uxb_ranking_orig_only!CV17</f>
        <v>1</v>
      </c>
      <c r="AI14" s="186">
        <f ca="1">uxb_ranking_orig_only!DK17</f>
        <v>1</v>
      </c>
      <c r="AK14" s="190" t="str">
        <f ca="1">IF($A14=0,"",uxb_ranking_orig_only!BG17)</f>
        <v>=10</v>
      </c>
      <c r="AL14" s="190" t="str">
        <f ca="1">uxb_ranking_orig_only!DD17</f>
        <v>+3</v>
      </c>
      <c r="AM14" s="14"/>
      <c r="AN14" s="14" t="str">
        <f ca="1">uxb_ranking_orig_only!AL17</f>
        <v>Argentina</v>
      </c>
      <c r="AO14" s="20">
        <f ca="1">uxb_ranking_orig_only!AS17</f>
        <v>33.299999999999997</v>
      </c>
      <c r="AP14" s="13" t="str">
        <f ca="1">uxb_ranking_orig_only!CP17</f>
        <v>+8.3</v>
      </c>
      <c r="AQ14" s="186">
        <f ca="1">uxb_ranking_orig_only!CW17</f>
        <v>1</v>
      </c>
    </row>
    <row r="15" spans="1:107" ht="18" customHeight="1">
      <c r="A15" s="106">
        <v>1</v>
      </c>
      <c r="B15" s="106"/>
      <c r="C15" s="186">
        <f ca="1">uxb_ranking_orig_only!DH18</f>
        <v>-1</v>
      </c>
      <c r="E15" s="190">
        <f ca="1">IF(A15=0,"",uxb_ranking_orig_only!BD18)</f>
        <v>11</v>
      </c>
      <c r="F15" s="190" t="str">
        <f ca="1">uxb_ranking_orig_only!DA18</f>
        <v>-3</v>
      </c>
      <c r="G15" s="14"/>
      <c r="H15" s="14" t="str">
        <f ca="1">uxb_ranking_orig_only!AI18</f>
        <v>Chile</v>
      </c>
      <c r="I15" s="15">
        <f ca="1">uxb_ranking_orig_only!AP18</f>
        <v>43.2</v>
      </c>
      <c r="J15" s="13" t="str">
        <f ca="1">uxb_ranking_orig_only!CM18</f>
        <v>-5.1</v>
      </c>
      <c r="K15">
        <f ca="1">uxb_ranking_orig_only!CT18</f>
        <v>-1</v>
      </c>
      <c r="M15">
        <f ca="1">uxb_ranking_orig_only!DI18</f>
        <v>1</v>
      </c>
      <c r="O15" s="190">
        <f ca="1">IF($A15=0,"",uxb_ranking_orig_only!BE18)</f>
        <v>11</v>
      </c>
      <c r="P15" s="190" t="str">
        <f ca="1">uxb_ranking_orig_only!DB18</f>
        <v>+1</v>
      </c>
      <c r="Q15" s="14"/>
      <c r="R15" s="14" t="str">
        <f ca="1">uxb_ranking_orig_only!AJ18</f>
        <v>Brazil</v>
      </c>
      <c r="S15" s="20">
        <f ca="1">uxb_ranking_orig_only!AQ18</f>
        <v>43.8</v>
      </c>
      <c r="T15" s="13" t="str">
        <f ca="1">uxb_ranking_orig_only!CN18</f>
        <v>-</v>
      </c>
      <c r="U15">
        <f ca="1">uxb_ranking_orig_only!CU18</f>
        <v>0</v>
      </c>
      <c r="Y15">
        <f ca="1">uxb_ranking_orig_only!DJ18</f>
        <v>1</v>
      </c>
      <c r="AA15" s="190">
        <f ca="1">IF($A15=0,"",uxb_ranking_orig_only!BF18)</f>
        <v>11</v>
      </c>
      <c r="AB15" s="190" t="str">
        <f ca="1">uxb_ranking_orig_only!DC18</f>
        <v>+1</v>
      </c>
      <c r="AC15" s="14"/>
      <c r="AD15" s="14" t="str">
        <f ca="1">uxb_ranking_orig_only!AK18</f>
        <v>Guatemala</v>
      </c>
      <c r="AE15" s="20">
        <f ca="1">uxb_ranking_orig_only!AR18</f>
        <v>40.799999999999997</v>
      </c>
      <c r="AF15" s="13" t="str">
        <f ca="1">uxb_ranking_orig_only!CO18</f>
        <v>-</v>
      </c>
      <c r="AG15" s="186">
        <f ca="1">uxb_ranking_orig_only!CV18</f>
        <v>0</v>
      </c>
      <c r="AI15" s="186">
        <f ca="1">uxb_ranking_orig_only!DK18</f>
        <v>0</v>
      </c>
      <c r="AK15" s="190" t="str">
        <f ca="1">IF($A15=0,"",uxb_ranking_orig_only!BG18)</f>
        <v>=10</v>
      </c>
      <c r="AL15" s="190" t="str">
        <f ca="1">uxb_ranking_orig_only!DD18</f>
        <v>-</v>
      </c>
      <c r="AM15" s="14"/>
      <c r="AN15" s="14" t="str">
        <f ca="1">uxb_ranking_orig_only!AL18</f>
        <v>Brazil</v>
      </c>
      <c r="AO15" s="20">
        <f ca="1">uxb_ranking_orig_only!AS18</f>
        <v>33.299999999999997</v>
      </c>
      <c r="AP15" s="13" t="str">
        <f ca="1">uxb_ranking_orig_only!CP18</f>
        <v>-</v>
      </c>
      <c r="AQ15" s="186">
        <f ca="1">uxb_ranking_orig_only!CW18</f>
        <v>0</v>
      </c>
    </row>
    <row r="16" spans="1:107" ht="18" customHeight="1">
      <c r="A16" s="106">
        <v>1</v>
      </c>
      <c r="B16" s="106"/>
      <c r="C16" s="186">
        <f ca="1">uxb_ranking_orig_only!DH19</f>
        <v>0</v>
      </c>
      <c r="E16" s="190">
        <f ca="1">IF(A16=0,"",uxb_ranking_orig_only!BD19)</f>
        <v>12</v>
      </c>
      <c r="F16" s="190" t="str">
        <f ca="1">uxb_ranking_orig_only!DA19</f>
        <v>-</v>
      </c>
      <c r="G16" s="14"/>
      <c r="H16" s="14" t="str">
        <f ca="1">uxb_ranking_orig_only!AI19</f>
        <v>Brazil</v>
      </c>
      <c r="I16" s="15">
        <f ca="1">uxb_ranking_orig_only!AP19</f>
        <v>41.6</v>
      </c>
      <c r="J16" s="13" t="str">
        <f ca="1">uxb_ranking_orig_only!CM19</f>
        <v>-1.7</v>
      </c>
      <c r="K16">
        <f ca="1">uxb_ranking_orig_only!CT19</f>
        <v>-1</v>
      </c>
      <c r="M16">
        <f ca="1">uxb_ranking_orig_only!DI19</f>
        <v>-1</v>
      </c>
      <c r="O16" s="190">
        <f ca="1">IF($A16=0,"",uxb_ranking_orig_only!BE19)</f>
        <v>12</v>
      </c>
      <c r="P16" s="190" t="str">
        <f ca="1">uxb_ranking_orig_only!DB19</f>
        <v>-4</v>
      </c>
      <c r="Q16" s="14"/>
      <c r="R16" s="14" t="str">
        <f ca="1">uxb_ranking_orig_only!AJ19</f>
        <v>Chile</v>
      </c>
      <c r="S16" s="20">
        <f ca="1">uxb_ranking_orig_only!AQ19</f>
        <v>37.5</v>
      </c>
      <c r="T16" s="13" t="str">
        <f ca="1">uxb_ranking_orig_only!CN19</f>
        <v>-12.5</v>
      </c>
      <c r="U16">
        <f ca="1">uxb_ranking_orig_only!CU19</f>
        <v>-1</v>
      </c>
      <c r="Y16">
        <f ca="1">uxb_ranking_orig_only!DJ19</f>
        <v>1</v>
      </c>
      <c r="AA16" s="190">
        <f ca="1">IF($A16=0,"",uxb_ranking_orig_only!BF19)</f>
        <v>12</v>
      </c>
      <c r="AB16" s="190" t="str">
        <f ca="1">uxb_ranking_orig_only!DC19</f>
        <v>+3</v>
      </c>
      <c r="AC16" s="14"/>
      <c r="AD16" s="14" t="str">
        <f ca="1">uxb_ranking_orig_only!AK19</f>
        <v>Dominican Rep</v>
      </c>
      <c r="AE16" s="20">
        <f ca="1">uxb_ranking_orig_only!AR19</f>
        <v>40</v>
      </c>
      <c r="AF16" s="13" t="str">
        <f ca="1">uxb_ranking_orig_only!CO19</f>
        <v>+2.5</v>
      </c>
      <c r="AG16" s="186">
        <f ca="1">uxb_ranking_orig_only!CV19</f>
        <v>1</v>
      </c>
      <c r="AI16" s="186">
        <f ca="1">uxb_ranking_orig_only!DK19</f>
        <v>0</v>
      </c>
      <c r="AK16" s="190" t="str">
        <f ca="1">IF($A16=0,"",uxb_ranking_orig_only!BG19)</f>
        <v>=10</v>
      </c>
      <c r="AL16" s="190" t="str">
        <f ca="1">uxb_ranking_orig_only!DD19</f>
        <v>-</v>
      </c>
      <c r="AM16" s="14"/>
      <c r="AN16" s="14" t="str">
        <f ca="1">uxb_ranking_orig_only!AL19</f>
        <v>Chile</v>
      </c>
      <c r="AO16" s="20">
        <f ca="1">uxb_ranking_orig_only!AS19</f>
        <v>33.299999999999997</v>
      </c>
      <c r="AP16" s="13" t="str">
        <f ca="1">uxb_ranking_orig_only!CP19</f>
        <v>-</v>
      </c>
      <c r="AQ16" s="186">
        <f ca="1">uxb_ranking_orig_only!CW19</f>
        <v>0</v>
      </c>
    </row>
    <row r="17" spans="1:43" ht="18" customHeight="1">
      <c r="A17" s="106">
        <v>1</v>
      </c>
      <c r="B17" s="106"/>
      <c r="C17" s="186">
        <f ca="1">uxb_ranking_orig_only!DH20</f>
        <v>1</v>
      </c>
      <c r="E17" s="190">
        <f ca="1">IF(A17=0,"",uxb_ranking_orig_only!BD20)</f>
        <v>13</v>
      </c>
      <c r="F17" s="190" t="str">
        <f ca="1">uxb_ranking_orig_only!DA20</f>
        <v>+2</v>
      </c>
      <c r="G17" s="14"/>
      <c r="H17" s="14" t="str">
        <f ca="1">uxb_ranking_orig_only!AI20</f>
        <v>Argentina</v>
      </c>
      <c r="I17" s="15">
        <f ca="1">uxb_ranking_orig_only!AP20</f>
        <v>28.5</v>
      </c>
      <c r="J17" s="13" t="str">
        <f ca="1">uxb_ranking_orig_only!CM20</f>
        <v>+1.7</v>
      </c>
      <c r="K17">
        <f ca="1">uxb_ranking_orig_only!CT20</f>
        <v>1</v>
      </c>
      <c r="M17">
        <f ca="1">uxb_ranking_orig_only!DI20</f>
        <v>0</v>
      </c>
      <c r="O17" s="190">
        <f ca="1">IF($A17=0,"",uxb_ranking_orig_only!BE20)</f>
        <v>13</v>
      </c>
      <c r="P17" s="190" t="str">
        <f ca="1">uxb_ranking_orig_only!DB20</f>
        <v>-</v>
      </c>
      <c r="Q17" s="14"/>
      <c r="R17" s="14" t="str">
        <f ca="1">uxb_ranking_orig_only!AJ20</f>
        <v>Uruguay</v>
      </c>
      <c r="S17" s="20">
        <f ca="1">uxb_ranking_orig_only!AQ20</f>
        <v>31.3</v>
      </c>
      <c r="T17" s="13" t="str">
        <f ca="1">uxb_ranking_orig_only!CN20</f>
        <v>-6.2</v>
      </c>
      <c r="U17">
        <f ca="1">uxb_ranking_orig_only!CU20</f>
        <v>-1</v>
      </c>
      <c r="Y17">
        <f ca="1">uxb_ranking_orig_only!DJ20</f>
        <v>1</v>
      </c>
      <c r="AA17" s="190">
        <f ca="1">IF($A17=0,"",uxb_ranking_orig_only!BF20)</f>
        <v>13</v>
      </c>
      <c r="AB17" s="190" t="str">
        <f ca="1">uxb_ranking_orig_only!DC20</f>
        <v>+1</v>
      </c>
      <c r="AC17" s="14"/>
      <c r="AD17" s="14" t="str">
        <f ca="1">uxb_ranking_orig_only!AK20</f>
        <v>Paraguay</v>
      </c>
      <c r="AE17" s="20">
        <f ca="1">uxb_ranking_orig_only!AR20</f>
        <v>39.700000000000003</v>
      </c>
      <c r="AF17" s="13" t="str">
        <f ca="1">uxb_ranking_orig_only!CO20</f>
        <v>+0.1</v>
      </c>
      <c r="AG17" s="186">
        <f ca="1">uxb_ranking_orig_only!CV20</f>
        <v>1</v>
      </c>
      <c r="AI17" s="186">
        <f ca="1">uxb_ranking_orig_only!DK20</f>
        <v>-1</v>
      </c>
      <c r="AK17" s="190" t="str">
        <f ca="1">IF($A17=0,"",uxb_ranking_orig_only!BG20)</f>
        <v>=10</v>
      </c>
      <c r="AL17" s="190" t="str">
        <f ca="1">uxb_ranking_orig_only!DD20</f>
        <v>-2</v>
      </c>
      <c r="AM17" s="14"/>
      <c r="AN17" s="14" t="str">
        <f ca="1">uxb_ranking_orig_only!AL20</f>
        <v>Mexico</v>
      </c>
      <c r="AO17" s="20">
        <f ca="1">uxb_ranking_orig_only!AS20</f>
        <v>33.299999999999997</v>
      </c>
      <c r="AP17" s="13" t="str">
        <f ca="1">uxb_ranking_orig_only!CP20</f>
        <v>-8.4</v>
      </c>
      <c r="AQ17" s="186">
        <f ca="1">uxb_ranking_orig_only!CW20</f>
        <v>-1</v>
      </c>
    </row>
    <row r="18" spans="1:43" ht="18" customHeight="1">
      <c r="A18" s="106">
        <v>1</v>
      </c>
      <c r="B18" s="106"/>
      <c r="C18" s="186">
        <f ca="1">uxb_ranking_orig_only!DH21</f>
        <v>-1</v>
      </c>
      <c r="E18" s="190">
        <f ca="1">IF(A18=0,"",uxb_ranking_orig_only!BD21)</f>
        <v>14</v>
      </c>
      <c r="F18" s="190" t="str">
        <f ca="1">uxb_ranking_orig_only!DA21</f>
        <v>-1</v>
      </c>
      <c r="G18" s="14"/>
      <c r="H18" s="14" t="str">
        <f ca="1">uxb_ranking_orig_only!AI21</f>
        <v>Uruguay</v>
      </c>
      <c r="I18" s="15">
        <f ca="1">uxb_ranking_orig_only!AP21</f>
        <v>28.3</v>
      </c>
      <c r="J18" s="13" t="str">
        <f ca="1">uxb_ranking_orig_only!CM21</f>
        <v>-7.5</v>
      </c>
      <c r="K18">
        <f ca="1">uxb_ranking_orig_only!CT21</f>
        <v>-1</v>
      </c>
      <c r="M18">
        <f ca="1">uxb_ranking_orig_only!DI21</f>
        <v>0</v>
      </c>
      <c r="O18" s="190">
        <f ca="1">IF($A18=0,"",uxb_ranking_orig_only!BE21)</f>
        <v>14</v>
      </c>
      <c r="P18" s="190" t="str">
        <f ca="1">uxb_ranking_orig_only!DB21</f>
        <v>-</v>
      </c>
      <c r="Q18" s="14"/>
      <c r="R18" s="14" t="str">
        <f ca="1">uxb_ranking_orig_only!AJ21</f>
        <v>Venezuela</v>
      </c>
      <c r="S18" s="20">
        <f ca="1">uxb_ranking_orig_only!AQ21</f>
        <v>25</v>
      </c>
      <c r="T18" s="13" t="str">
        <f ca="1">uxb_ranking_orig_only!CN21</f>
        <v>-6.3</v>
      </c>
      <c r="U18">
        <f ca="1">uxb_ranking_orig_only!CU21</f>
        <v>-1</v>
      </c>
      <c r="Y18">
        <f ca="1">uxb_ranking_orig_only!DJ21</f>
        <v>-1</v>
      </c>
      <c r="AA18" s="190">
        <f ca="1">IF($A18=0,"",uxb_ranking_orig_only!BF21)</f>
        <v>14</v>
      </c>
      <c r="AB18" s="190" t="str">
        <f ca="1">uxb_ranking_orig_only!DC21</f>
        <v>-5</v>
      </c>
      <c r="AC18" s="14"/>
      <c r="AD18" s="14" t="str">
        <f ca="1">uxb_ranking_orig_only!AK21</f>
        <v>Argentina</v>
      </c>
      <c r="AE18" s="20">
        <f ca="1">uxb_ranking_orig_only!AR21</f>
        <v>38.299999999999997</v>
      </c>
      <c r="AF18" s="13" t="str">
        <f ca="1">uxb_ranking_orig_only!CO21</f>
        <v>-8.4</v>
      </c>
      <c r="AG18" s="186">
        <f ca="1">uxb_ranking_orig_only!CV21</f>
        <v>-1</v>
      </c>
      <c r="AI18" s="186">
        <f ca="1">uxb_ranking_orig_only!DK21</f>
        <v>-1</v>
      </c>
      <c r="AK18" s="190" t="str">
        <f ca="1">IF($A18=0,"",uxb_ranking_orig_only!BG21)</f>
        <v>=14</v>
      </c>
      <c r="AL18" s="190" t="str">
        <f ca="1">uxb_ranking_orig_only!DD21</f>
        <v>-1</v>
      </c>
      <c r="AM18" s="14"/>
      <c r="AN18" s="14" t="str">
        <f ca="1">uxb_ranking_orig_only!AL21</f>
        <v>Uruguay</v>
      </c>
      <c r="AO18" s="20">
        <f ca="1">uxb_ranking_orig_only!AS21</f>
        <v>16.7</v>
      </c>
      <c r="AP18" s="13" t="str">
        <f ca="1">uxb_ranking_orig_only!CP21</f>
        <v>-8.3</v>
      </c>
      <c r="AQ18" s="186">
        <f ca="1">uxb_ranking_orig_only!CW21</f>
        <v>-1</v>
      </c>
    </row>
    <row r="19" spans="1:43" ht="18" customHeight="1">
      <c r="A19" s="106">
        <v>1</v>
      </c>
      <c r="B19" s="106"/>
      <c r="C19" s="186">
        <f ca="1">uxb_ranking_orig_only!DH22</f>
        <v>-1</v>
      </c>
      <c r="E19" s="190">
        <f ca="1">IF(A19=0,"",uxb_ranking_orig_only!BD22)</f>
        <v>15</v>
      </c>
      <c r="F19" s="190" t="str">
        <f ca="1">uxb_ranking_orig_only!DA22</f>
        <v>-1</v>
      </c>
      <c r="G19" s="14"/>
      <c r="H19" s="14" t="str">
        <f ca="1">uxb_ranking_orig_only!AI22</f>
        <v>Venezuela</v>
      </c>
      <c r="I19" s="15">
        <f ca="1">uxb_ranking_orig_only!AP22</f>
        <v>24.9</v>
      </c>
      <c r="J19" s="13" t="str">
        <f ca="1">uxb_ranking_orig_only!CM22</f>
        <v>-2.5</v>
      </c>
      <c r="K19">
        <f ca="1">uxb_ranking_orig_only!CT22</f>
        <v>-1</v>
      </c>
      <c r="M19">
        <f ca="1">uxb_ranking_orig_only!DI22</f>
        <v>0</v>
      </c>
      <c r="O19" s="190">
        <f ca="1">IF($A19=0,"",uxb_ranking_orig_only!BE22)</f>
        <v>15</v>
      </c>
      <c r="P19" s="190" t="str">
        <f ca="1">uxb_ranking_orig_only!DB22</f>
        <v>-</v>
      </c>
      <c r="Q19" s="14"/>
      <c r="R19" s="14" t="str">
        <f ca="1">uxb_ranking_orig_only!AJ22</f>
        <v>Argentina</v>
      </c>
      <c r="S19" s="20">
        <f ca="1">uxb_ranking_orig_only!AQ22</f>
        <v>18.8</v>
      </c>
      <c r="T19" s="13" t="str">
        <f ca="1">uxb_ranking_orig_only!CN22</f>
        <v>-</v>
      </c>
      <c r="U19">
        <f ca="1">uxb_ranking_orig_only!CU22</f>
        <v>0</v>
      </c>
      <c r="Y19">
        <f ca="1">uxb_ranking_orig_only!DJ22</f>
        <v>-1</v>
      </c>
      <c r="AA19" s="190">
        <f ca="1">IF($A19=0,"",uxb_ranking_orig_only!BF22)</f>
        <v>15</v>
      </c>
      <c r="AB19" s="190" t="str">
        <f ca="1">uxb_ranking_orig_only!DC22</f>
        <v>-5</v>
      </c>
      <c r="AC19" s="14"/>
      <c r="AD19" s="14" t="str">
        <f ca="1">uxb_ranking_orig_only!AK22</f>
        <v>Ecuador</v>
      </c>
      <c r="AE19" s="20">
        <f ca="1">uxb_ranking_orig_only!AR22</f>
        <v>31.7</v>
      </c>
      <c r="AF19" s="13" t="str">
        <f ca="1">uxb_ranking_orig_only!CO22</f>
        <v>-9.6</v>
      </c>
      <c r="AG19" s="186">
        <f ca="1">uxb_ranking_orig_only!CV22</f>
        <v>-1</v>
      </c>
      <c r="AI19" s="186">
        <f ca="1">uxb_ranking_orig_only!DK22</f>
        <v>1</v>
      </c>
      <c r="AK19" s="190" t="str">
        <f ca="1">IF($A19=0,"",uxb_ranking_orig_only!BG22)</f>
        <v>=14</v>
      </c>
      <c r="AL19" s="190" t="str">
        <f ca="1">uxb_ranking_orig_only!DD22</f>
        <v>+1</v>
      </c>
      <c r="AM19" s="14"/>
      <c r="AN19" s="14" t="str">
        <f ca="1">uxb_ranking_orig_only!AL22</f>
        <v>Venezuela</v>
      </c>
      <c r="AO19" s="20">
        <f ca="1">uxb_ranking_orig_only!AS22</f>
        <v>16.7</v>
      </c>
      <c r="AP19" s="13" t="str">
        <f ca="1">uxb_ranking_orig_only!CP22</f>
        <v>-</v>
      </c>
      <c r="AQ19" s="186">
        <f ca="1">uxb_ranking_orig_only!CW22</f>
        <v>0</v>
      </c>
    </row>
  </sheetData>
  <phoneticPr fontId="0" type="noConversion"/>
  <conditionalFormatting sqref="H5:H19 AN5:AN19 AD5:AD19 R5:R19">
    <cfRule type="expression" dxfId="76" priority="32" stopIfTrue="1">
      <formula>$A5=0</formula>
    </cfRule>
    <cfRule type="cellIs" dxfId="75" priority="33" stopIfTrue="1" operator="equal">
      <formula>$A$2</formula>
    </cfRule>
  </conditionalFormatting>
  <conditionalFormatting sqref="I5:I19 S5:S19 AE5:AE19 AO5:AO19">
    <cfRule type="expression" dxfId="74" priority="31">
      <formula>H5=$A$2</formula>
    </cfRule>
  </conditionalFormatting>
  <conditionalFormatting sqref="AK5:AK19">
    <cfRule type="expression" dxfId="73" priority="29" stopIfTrue="1">
      <formula>$A5=0</formula>
    </cfRule>
    <cfRule type="expression" dxfId="72" priority="30" stopIfTrue="1">
      <formula>$A$2=AN5</formula>
    </cfRule>
  </conditionalFormatting>
  <conditionalFormatting sqref="E3:J4">
    <cfRule type="expression" dxfId="71" priority="28" stopIfTrue="1">
      <formula>$A$2=2</formula>
    </cfRule>
  </conditionalFormatting>
  <conditionalFormatting sqref="T5:T19 AF5:AF19 AP5:AP19 J5:J19">
    <cfRule type="expression" dxfId="70" priority="22" stopIfTrue="1">
      <formula>$A$2=H5</formula>
    </cfRule>
    <cfRule type="expression" dxfId="69" priority="23" stopIfTrue="1">
      <formula>K5=1</formula>
    </cfRule>
    <cfRule type="expression" dxfId="68" priority="24" stopIfTrue="1">
      <formula>K5=-1</formula>
    </cfRule>
  </conditionalFormatting>
  <conditionalFormatting sqref="E5:E19">
    <cfRule type="expression" dxfId="67" priority="34" stopIfTrue="1">
      <formula>$A5=0</formula>
    </cfRule>
    <cfRule type="expression" dxfId="66" priority="35" stopIfTrue="1">
      <formula>$A$2=H5</formula>
    </cfRule>
  </conditionalFormatting>
  <conditionalFormatting sqref="F5:F19 AL5:AL19">
    <cfRule type="expression" dxfId="65" priority="50" stopIfTrue="1">
      <formula>$A$2=H5</formula>
    </cfRule>
    <cfRule type="expression" dxfId="64" priority="51" stopIfTrue="1">
      <formula>C5=1</formula>
    </cfRule>
    <cfRule type="expression" dxfId="63" priority="52" stopIfTrue="1">
      <formula>C5=-1</formula>
    </cfRule>
  </conditionalFormatting>
  <conditionalFormatting sqref="O5:O19">
    <cfRule type="expression" dxfId="62" priority="53" stopIfTrue="1">
      <formula>$A5=0</formula>
    </cfRule>
    <cfRule type="expression" dxfId="61" priority="54" stopIfTrue="1">
      <formula>$A$2=R5</formula>
    </cfRule>
  </conditionalFormatting>
  <conditionalFormatting sqref="P5:P19">
    <cfRule type="expression" dxfId="60" priority="65" stopIfTrue="1">
      <formula>$A$2=R5</formula>
    </cfRule>
    <cfRule type="expression" dxfId="59" priority="66" stopIfTrue="1">
      <formula>M5=1</formula>
    </cfRule>
    <cfRule type="expression" dxfId="58" priority="67" stopIfTrue="1">
      <formula>M5=-1</formula>
    </cfRule>
  </conditionalFormatting>
  <conditionalFormatting sqref="AA5:AA19">
    <cfRule type="expression" dxfId="57" priority="68" stopIfTrue="1">
      <formula>$A5=0</formula>
    </cfRule>
    <cfRule type="expression" dxfId="56" priority="69" stopIfTrue="1">
      <formula>$A$2=AD5</formula>
    </cfRule>
  </conditionalFormatting>
  <conditionalFormatting sqref="AB5:AB19">
    <cfRule type="expression" dxfId="55" priority="78" stopIfTrue="1">
      <formula>$A$2=AD5</formula>
    </cfRule>
    <cfRule type="expression" dxfId="54" priority="79" stopIfTrue="1">
      <formula>Y5=1</formula>
    </cfRule>
    <cfRule type="expression" dxfId="53" priority="80" stopIfTrue="1">
      <formula>Y5=-1</formula>
    </cfRule>
  </conditionalFormatting>
  <conditionalFormatting sqref="G5:G19 Q5:Q19 AC5:AC19 AM5:AM19">
    <cfRule type="expression" dxfId="52" priority="105" stopIfTrue="1">
      <formula>$A5=0</formula>
    </cfRule>
    <cfRule type="expression" dxfId="51" priority="106" stopIfTrue="1">
      <formula>H5=$A$2</formula>
    </cfRule>
  </conditionalFormatting>
  <pageMargins left="0.74803149606299213" right="0.74803149606299213" top="0.59055118110236227" bottom="0.59055118110236227" header="0.51181102362204722" footer="0.51181102362204722"/>
  <pageSetup scale="85"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sheetPr codeName="Sheet3"/>
  <dimension ref="A1:FZ68"/>
  <sheetViews>
    <sheetView topLeftCell="AC1" zoomScale="70" zoomScaleNormal="70" workbookViewId="0">
      <selection activeCell="BE8" sqref="BE8"/>
    </sheetView>
  </sheetViews>
  <sheetFormatPr defaultRowHeight="12.75"/>
  <cols>
    <col min="1" max="1" width="6" customWidth="1"/>
    <col min="2" max="2" width="6" bestFit="1" customWidth="1"/>
    <col min="4" max="4" width="4.140625" bestFit="1" customWidth="1"/>
    <col min="5" max="5" width="6.85546875" style="4" bestFit="1" customWidth="1"/>
    <col min="6" max="6" width="7.28515625" customWidth="1"/>
    <col min="7" max="10" width="6" customWidth="1"/>
    <col min="11" max="11" width="5.42578125" bestFit="1" customWidth="1"/>
    <col min="12" max="12" width="6.85546875" bestFit="1" customWidth="1"/>
    <col min="13" max="13" width="6.85546875" customWidth="1"/>
    <col min="14" max="19" width="2.5703125" customWidth="1"/>
    <col min="20" max="20" width="2.140625" customWidth="1"/>
    <col min="21" max="21" width="6.28515625" customWidth="1"/>
    <col min="22" max="24" width="4" customWidth="1"/>
    <col min="25" max="25" width="5.42578125" bestFit="1" customWidth="1"/>
    <col min="26" max="26" width="3" bestFit="1" customWidth="1"/>
    <col min="27" max="27" width="2.5703125" customWidth="1"/>
    <col min="28" max="31" width="4" customWidth="1"/>
    <col min="32" max="34" width="3.7109375" customWidth="1"/>
    <col min="35" max="38" width="5" customWidth="1"/>
    <col min="39" max="41" width="4" customWidth="1"/>
    <col min="42" max="45" width="4.7109375" customWidth="1"/>
    <col min="46" max="46" width="5.42578125" bestFit="1" customWidth="1"/>
    <col min="47" max="47" width="8" bestFit="1" customWidth="1"/>
    <col min="48" max="48" width="8" customWidth="1"/>
    <col min="49" max="49" width="4.5703125" customWidth="1"/>
    <col min="50" max="50" width="3" customWidth="1"/>
    <col min="51" max="51" width="2.7109375" customWidth="1"/>
    <col min="52" max="52" width="2.85546875" customWidth="1"/>
    <col min="53" max="53" width="3" customWidth="1"/>
    <col min="54" max="55" width="2.7109375" customWidth="1"/>
    <col min="56" max="56" width="4.140625" customWidth="1"/>
    <col min="57" max="61" width="2.7109375" customWidth="1"/>
    <col min="62" max="62" width="4.42578125" customWidth="1"/>
    <col min="63" max="66" width="4.7109375" customWidth="1"/>
    <col min="67" max="67" width="5.42578125" bestFit="1" customWidth="1"/>
    <col min="68" max="68" width="8" bestFit="1" customWidth="1"/>
    <col min="70" max="75" width="3" customWidth="1"/>
    <col min="77" max="77" width="4.42578125" customWidth="1"/>
    <col min="78" max="81" width="3.42578125" customWidth="1"/>
    <col min="82" max="82" width="7.28515625" customWidth="1"/>
    <col min="84" max="88" width="4.85546875" customWidth="1"/>
    <col min="89" max="89" width="3.42578125" customWidth="1"/>
    <col min="91" max="91" width="4.140625" customWidth="1"/>
    <col min="92" max="92" width="5.28515625" customWidth="1"/>
    <col min="93" max="96" width="4.140625" customWidth="1"/>
    <col min="98" max="103" width="4.140625" customWidth="1"/>
    <col min="104" max="104" width="4.42578125" customWidth="1"/>
    <col min="105" max="117" width="2.7109375" customWidth="1"/>
    <col min="119" max="124" width="3" customWidth="1"/>
    <col min="126" max="131" width="3.140625" customWidth="1"/>
    <col min="133" max="133" width="3" customWidth="1"/>
    <col min="134" max="134" width="6.28515625" customWidth="1"/>
    <col min="135" max="138" width="3" customWidth="1"/>
    <col min="140" max="145" width="4.42578125" customWidth="1"/>
    <col min="147" max="152" width="3.85546875" customWidth="1"/>
    <col min="154" max="158" width="4.42578125" customWidth="1"/>
    <col min="159" max="159" width="2.28515625" customWidth="1"/>
    <col min="160" max="160" width="2.7109375" customWidth="1"/>
    <col min="161" max="166" width="3" customWidth="1"/>
    <col min="168" max="173" width="3.85546875" customWidth="1"/>
    <col min="175" max="180" width="3.42578125" customWidth="1"/>
  </cols>
  <sheetData>
    <row r="1" spans="1:182">
      <c r="A1" t="s">
        <v>461</v>
      </c>
      <c r="B1">
        <v>0</v>
      </c>
    </row>
    <row r="2" spans="1:182">
      <c r="A2" t="s">
        <v>474</v>
      </c>
      <c r="B2" s="37" t="str">
        <f ca="1">uxb_globals!B8</f>
        <v>RF02</v>
      </c>
      <c r="DO2" t="s">
        <v>540</v>
      </c>
    </row>
    <row r="3" spans="1:182">
      <c r="A3" t="s">
        <v>372</v>
      </c>
      <c r="B3" s="37" t="str">
        <f ca="1">uxb_globals!B40</f>
        <v>DEP02</v>
      </c>
      <c r="G3" s="5"/>
      <c r="H3" s="184" t="s">
        <v>153</v>
      </c>
      <c r="I3" s="5"/>
      <c r="J3" s="5"/>
      <c r="K3" s="5"/>
      <c r="U3" s="5"/>
      <c r="V3" s="184" t="s">
        <v>154</v>
      </c>
      <c r="W3" s="5"/>
      <c r="X3" s="5"/>
      <c r="Y3" s="5"/>
      <c r="AB3" s="5"/>
      <c r="AC3" s="6" t="s">
        <v>462</v>
      </c>
      <c r="AD3" s="5"/>
      <c r="AE3" s="5"/>
      <c r="AF3" s="5"/>
      <c r="AI3" s="5"/>
      <c r="AJ3" s="6" t="s">
        <v>458</v>
      </c>
      <c r="AK3" s="5"/>
      <c r="AL3" s="5"/>
      <c r="AM3" s="5"/>
      <c r="AP3" s="5"/>
      <c r="AQ3" s="184" t="s">
        <v>155</v>
      </c>
      <c r="AR3" s="5"/>
      <c r="AS3" s="5"/>
      <c r="AT3" s="5"/>
      <c r="AU3" s="5"/>
      <c r="AV3" s="95"/>
      <c r="AW3" s="5"/>
      <c r="AX3" s="6" t="s">
        <v>544</v>
      </c>
      <c r="AY3" s="5"/>
      <c r="AZ3" s="5"/>
      <c r="BA3" s="5"/>
      <c r="BB3" s="5"/>
      <c r="BC3" s="95"/>
      <c r="BD3" s="95"/>
      <c r="BE3" s="95"/>
      <c r="BF3" s="95"/>
      <c r="BG3" s="95"/>
      <c r="BH3" s="95"/>
      <c r="BI3" s="95"/>
      <c r="BJ3" s="95"/>
      <c r="BK3" s="5"/>
      <c r="BL3" s="184" t="s">
        <v>156</v>
      </c>
      <c r="BM3" s="5"/>
      <c r="BN3" s="5"/>
      <c r="BO3" s="5"/>
      <c r="BP3" s="5"/>
      <c r="BR3" s="5"/>
      <c r="BS3" s="6" t="s">
        <v>545</v>
      </c>
      <c r="BT3" s="5"/>
      <c r="BU3" s="5"/>
      <c r="BV3" s="5"/>
      <c r="BW3" s="5"/>
      <c r="BY3" s="5"/>
      <c r="BZ3" s="184" t="s">
        <v>157</v>
      </c>
      <c r="CA3" s="5"/>
      <c r="CB3" s="5"/>
      <c r="CC3" s="5"/>
      <c r="CD3" s="5"/>
      <c r="CF3" s="5"/>
      <c r="CG3" s="184" t="s">
        <v>158</v>
      </c>
      <c r="CH3" s="5"/>
      <c r="CI3" s="5"/>
      <c r="CJ3" s="5"/>
      <c r="CK3" s="5"/>
      <c r="CM3" s="5"/>
      <c r="CN3" s="184" t="s">
        <v>159</v>
      </c>
      <c r="CO3" s="5"/>
      <c r="CP3" s="5"/>
      <c r="CQ3" s="5"/>
      <c r="CR3" s="5"/>
      <c r="CT3" s="5"/>
      <c r="CU3" s="184" t="s">
        <v>161</v>
      </c>
      <c r="CV3" s="5"/>
      <c r="CW3" s="5"/>
      <c r="CX3" s="5"/>
      <c r="CY3" s="5"/>
      <c r="DA3" s="5"/>
      <c r="DB3" s="184" t="s">
        <v>162</v>
      </c>
      <c r="DC3" s="5"/>
      <c r="DD3" s="5"/>
      <c r="DE3" s="5"/>
      <c r="DF3" s="5"/>
      <c r="DH3" s="5"/>
      <c r="DI3" s="184" t="s">
        <v>163</v>
      </c>
      <c r="DJ3" s="5"/>
      <c r="DK3" s="5"/>
      <c r="DL3" s="5"/>
      <c r="DM3" s="5"/>
      <c r="EJ3" s="5"/>
      <c r="EK3" s="6" t="s">
        <v>546</v>
      </c>
      <c r="EL3" s="5"/>
      <c r="EM3" s="5"/>
      <c r="EN3" s="5"/>
      <c r="EO3" s="5"/>
      <c r="EQ3" s="5"/>
      <c r="ER3" s="6" t="s">
        <v>547</v>
      </c>
      <c r="ES3" s="5"/>
      <c r="ET3" s="5"/>
      <c r="EU3" s="5"/>
      <c r="EV3" s="5"/>
    </row>
    <row r="5" spans="1:182">
      <c r="G5" t="s">
        <v>483</v>
      </c>
      <c r="H5" t="s">
        <v>425</v>
      </c>
      <c r="I5" t="s">
        <v>426</v>
      </c>
      <c r="J5" t="s">
        <v>427</v>
      </c>
      <c r="K5" t="str">
        <f>B2</f>
        <v>RF02</v>
      </c>
      <c r="L5" t="str">
        <f>B3</f>
        <v>DEP02</v>
      </c>
      <c r="N5" t="str">
        <f>G5</f>
        <v>OVERALL00</v>
      </c>
      <c r="O5" t="str">
        <f t="shared" ref="O5:S6" si="0">H5</f>
        <v>RF00</v>
      </c>
      <c r="P5" t="str">
        <f t="shared" si="0"/>
        <v>IC00</v>
      </c>
      <c r="Q5" t="str">
        <f t="shared" si="0"/>
        <v>ID00</v>
      </c>
      <c r="R5" t="str">
        <f t="shared" si="0"/>
        <v>RF02</v>
      </c>
      <c r="S5" t="str">
        <f t="shared" si="0"/>
        <v>DEP02</v>
      </c>
      <c r="U5" t="str">
        <f t="shared" ref="U5:Z5" si="1">G5</f>
        <v>OVERALL00</v>
      </c>
      <c r="V5" t="str">
        <f t="shared" si="1"/>
        <v>RF00</v>
      </c>
      <c r="W5" t="str">
        <f t="shared" si="1"/>
        <v>IC00</v>
      </c>
      <c r="X5" t="str">
        <f t="shared" si="1"/>
        <v>ID00</v>
      </c>
      <c r="Y5" t="str">
        <f t="shared" si="1"/>
        <v>RF02</v>
      </c>
      <c r="Z5" t="str">
        <f t="shared" si="1"/>
        <v>DEP02</v>
      </c>
      <c r="AB5" t="str">
        <f t="shared" ref="AB5:AG5" si="2">U5</f>
        <v>OVERALL00</v>
      </c>
      <c r="AC5" t="str">
        <f t="shared" si="2"/>
        <v>RF00</v>
      </c>
      <c r="AD5" t="str">
        <f t="shared" si="2"/>
        <v>IC00</v>
      </c>
      <c r="AE5" t="str">
        <f t="shared" si="2"/>
        <v>ID00</v>
      </c>
      <c r="AF5" t="str">
        <f t="shared" si="2"/>
        <v>RF02</v>
      </c>
      <c r="AG5" t="str">
        <f t="shared" si="2"/>
        <v>DEP02</v>
      </c>
      <c r="AI5" t="str">
        <f t="shared" ref="AI5:AN5" si="3">AB5</f>
        <v>OVERALL00</v>
      </c>
      <c r="AJ5" t="str">
        <f t="shared" si="3"/>
        <v>RF00</v>
      </c>
      <c r="AK5" t="str">
        <f t="shared" si="3"/>
        <v>IC00</v>
      </c>
      <c r="AL5" t="str">
        <f t="shared" si="3"/>
        <v>ID00</v>
      </c>
      <c r="AM5" t="str">
        <f t="shared" si="3"/>
        <v>RF02</v>
      </c>
      <c r="AN5" t="str">
        <f t="shared" si="3"/>
        <v>DEP02</v>
      </c>
      <c r="AP5" t="str">
        <f t="shared" ref="AP5:AU5" si="4">AI5</f>
        <v>OVERALL00</v>
      </c>
      <c r="AQ5" t="str">
        <f t="shared" si="4"/>
        <v>RF00</v>
      </c>
      <c r="AR5" t="str">
        <f t="shared" si="4"/>
        <v>IC00</v>
      </c>
      <c r="AS5" t="str">
        <f t="shared" si="4"/>
        <v>ID00</v>
      </c>
      <c r="AT5" t="str">
        <f t="shared" si="4"/>
        <v>RF02</v>
      </c>
      <c r="AU5" t="str">
        <f t="shared" si="4"/>
        <v>DEP02</v>
      </c>
      <c r="AW5" t="str">
        <f t="shared" ref="AW5:BB5" si="5">AP5</f>
        <v>OVERALL00</v>
      </c>
      <c r="AX5" t="str">
        <f t="shared" si="5"/>
        <v>RF00</v>
      </c>
      <c r="AY5" t="str">
        <f t="shared" si="5"/>
        <v>IC00</v>
      </c>
      <c r="AZ5" t="str">
        <f t="shared" si="5"/>
        <v>ID00</v>
      </c>
      <c r="BA5" t="str">
        <f t="shared" si="5"/>
        <v>RF02</v>
      </c>
      <c r="BB5" t="str">
        <f t="shared" si="5"/>
        <v>DEP02</v>
      </c>
      <c r="BD5" t="str">
        <f t="shared" ref="BD5:BI5" si="6">AW5</f>
        <v>OVERALL00</v>
      </c>
      <c r="BE5" t="str">
        <f t="shared" si="6"/>
        <v>RF00</v>
      </c>
      <c r="BF5" t="str">
        <f t="shared" si="6"/>
        <v>IC00</v>
      </c>
      <c r="BG5" t="str">
        <f t="shared" si="6"/>
        <v>ID00</v>
      </c>
      <c r="BH5" t="str">
        <f t="shared" si="6"/>
        <v>RF02</v>
      </c>
      <c r="BI5" t="str">
        <f t="shared" si="6"/>
        <v>DEP02</v>
      </c>
      <c r="BK5" t="str">
        <f t="shared" ref="BK5:BP5" si="7">AP5</f>
        <v>OVERALL00</v>
      </c>
      <c r="BL5" t="str">
        <f t="shared" si="7"/>
        <v>RF00</v>
      </c>
      <c r="BM5" t="str">
        <f t="shared" si="7"/>
        <v>IC00</v>
      </c>
      <c r="BN5" t="str">
        <f t="shared" si="7"/>
        <v>ID00</v>
      </c>
      <c r="BO5" t="str">
        <f t="shared" si="7"/>
        <v>RF02</v>
      </c>
      <c r="BP5" t="str">
        <f t="shared" si="7"/>
        <v>DEP02</v>
      </c>
      <c r="BR5" t="str">
        <f t="shared" ref="BR5:BW5" si="8">BK5</f>
        <v>OVERALL00</v>
      </c>
      <c r="BS5" t="str">
        <f t="shared" si="8"/>
        <v>RF00</v>
      </c>
      <c r="BT5" t="str">
        <f t="shared" si="8"/>
        <v>IC00</v>
      </c>
      <c r="BU5" t="str">
        <f t="shared" si="8"/>
        <v>ID00</v>
      </c>
      <c r="BV5" t="str">
        <f t="shared" si="8"/>
        <v>RF02</v>
      </c>
      <c r="BW5" t="str">
        <f t="shared" si="8"/>
        <v>DEP02</v>
      </c>
      <c r="BY5" t="str">
        <f t="shared" ref="BY5:CD5" si="9">BR5</f>
        <v>OVERALL00</v>
      </c>
      <c r="BZ5" t="str">
        <f t="shared" si="9"/>
        <v>RF00</v>
      </c>
      <c r="CA5" t="str">
        <f t="shared" si="9"/>
        <v>IC00</v>
      </c>
      <c r="CB5" t="str">
        <f t="shared" si="9"/>
        <v>ID00</v>
      </c>
      <c r="CC5" t="str">
        <f t="shared" si="9"/>
        <v>RF02</v>
      </c>
      <c r="CD5" t="str">
        <f t="shared" si="9"/>
        <v>DEP02</v>
      </c>
      <c r="CF5" t="str">
        <f t="shared" ref="CF5:CK5" si="10">BY5</f>
        <v>OVERALL00</v>
      </c>
      <c r="CG5" t="str">
        <f t="shared" si="10"/>
        <v>RF00</v>
      </c>
      <c r="CH5" t="str">
        <f t="shared" si="10"/>
        <v>IC00</v>
      </c>
      <c r="CI5" t="str">
        <f t="shared" si="10"/>
        <v>ID00</v>
      </c>
      <c r="CJ5" t="str">
        <f t="shared" si="10"/>
        <v>RF02</v>
      </c>
      <c r="CK5" t="str">
        <f t="shared" si="10"/>
        <v>DEP02</v>
      </c>
      <c r="CM5" t="str">
        <f t="shared" ref="CM5:CR5" si="11">CF5</f>
        <v>OVERALL00</v>
      </c>
      <c r="CN5" t="str">
        <f t="shared" si="11"/>
        <v>RF00</v>
      </c>
      <c r="CO5" t="str">
        <f t="shared" si="11"/>
        <v>IC00</v>
      </c>
      <c r="CP5" t="str">
        <f t="shared" si="11"/>
        <v>ID00</v>
      </c>
      <c r="CQ5" t="str">
        <f t="shared" si="11"/>
        <v>RF02</v>
      </c>
      <c r="CR5" t="str">
        <f t="shared" si="11"/>
        <v>DEP02</v>
      </c>
      <c r="CT5" t="str">
        <f t="shared" ref="CT5:CY5" si="12">CM5</f>
        <v>OVERALL00</v>
      </c>
      <c r="CU5" t="str">
        <f t="shared" si="12"/>
        <v>RF00</v>
      </c>
      <c r="CV5" t="str">
        <f t="shared" si="12"/>
        <v>IC00</v>
      </c>
      <c r="CW5" t="str">
        <f t="shared" si="12"/>
        <v>ID00</v>
      </c>
      <c r="CX5" t="str">
        <f t="shared" si="12"/>
        <v>RF02</v>
      </c>
      <c r="CY5" t="str">
        <f t="shared" si="12"/>
        <v>DEP02</v>
      </c>
      <c r="DA5" t="str">
        <f>CT5</f>
        <v>OVERALL00</v>
      </c>
      <c r="DB5" t="str">
        <f t="shared" ref="DB5:DM5" si="13">CU5</f>
        <v>RF00</v>
      </c>
      <c r="DC5" t="str">
        <f t="shared" si="13"/>
        <v>IC00</v>
      </c>
      <c r="DD5" t="str">
        <f t="shared" si="13"/>
        <v>ID00</v>
      </c>
      <c r="DE5" t="str">
        <f t="shared" si="13"/>
        <v>RF02</v>
      </c>
      <c r="DF5" t="str">
        <f t="shared" si="13"/>
        <v>DEP02</v>
      </c>
      <c r="DH5" t="str">
        <f t="shared" si="13"/>
        <v>OVERALL00</v>
      </c>
      <c r="DI5" t="str">
        <f t="shared" si="13"/>
        <v>RF00</v>
      </c>
      <c r="DJ5" t="str">
        <f t="shared" si="13"/>
        <v>IC00</v>
      </c>
      <c r="DK5" t="str">
        <f t="shared" si="13"/>
        <v>ID00</v>
      </c>
      <c r="DL5" t="str">
        <f t="shared" si="13"/>
        <v>RF02</v>
      </c>
      <c r="DM5" t="str">
        <f t="shared" si="13"/>
        <v>DEP02</v>
      </c>
      <c r="DO5" t="str">
        <f t="shared" ref="DO5:DT5" si="14">DH5</f>
        <v>OVERALL00</v>
      </c>
      <c r="DP5" t="str">
        <f t="shared" si="14"/>
        <v>RF00</v>
      </c>
      <c r="DQ5" t="str">
        <f t="shared" si="14"/>
        <v>IC00</v>
      </c>
      <c r="DR5" t="str">
        <f t="shared" si="14"/>
        <v>ID00</v>
      </c>
      <c r="DS5" t="str">
        <f t="shared" si="14"/>
        <v>RF02</v>
      </c>
      <c r="DT5" t="str">
        <f t="shared" si="14"/>
        <v>DEP02</v>
      </c>
      <c r="DV5" t="str">
        <f t="shared" ref="DV5:EA5" si="15">DO5</f>
        <v>OVERALL00</v>
      </c>
      <c r="DW5" t="str">
        <f t="shared" si="15"/>
        <v>RF00</v>
      </c>
      <c r="DX5" t="str">
        <f t="shared" si="15"/>
        <v>IC00</v>
      </c>
      <c r="DY5" t="str">
        <f t="shared" si="15"/>
        <v>ID00</v>
      </c>
      <c r="DZ5" t="str">
        <f t="shared" si="15"/>
        <v>RF02</v>
      </c>
      <c r="EA5" t="str">
        <f t="shared" si="15"/>
        <v>DEP02</v>
      </c>
      <c r="EC5" t="str">
        <f t="shared" ref="EC5:EH5" si="16">DV5</f>
        <v>OVERALL00</v>
      </c>
      <c r="ED5" t="str">
        <f t="shared" si="16"/>
        <v>RF00</v>
      </c>
      <c r="EE5" t="str">
        <f t="shared" si="16"/>
        <v>IC00</v>
      </c>
      <c r="EF5" t="str">
        <f t="shared" si="16"/>
        <v>ID00</v>
      </c>
      <c r="EG5" t="str">
        <f t="shared" si="16"/>
        <v>RF02</v>
      </c>
      <c r="EH5" t="str">
        <f t="shared" si="16"/>
        <v>DEP02</v>
      </c>
      <c r="EJ5" t="str">
        <f>EC5</f>
        <v>OVERALL00</v>
      </c>
      <c r="EK5" t="str">
        <f t="shared" ref="EK5:EP5" si="17">ED5</f>
        <v>RF00</v>
      </c>
      <c r="EL5" t="str">
        <f t="shared" si="17"/>
        <v>IC00</v>
      </c>
      <c r="EM5" t="str">
        <f t="shared" si="17"/>
        <v>ID00</v>
      </c>
      <c r="EN5" t="str">
        <f t="shared" si="17"/>
        <v>RF02</v>
      </c>
      <c r="EO5" t="str">
        <f t="shared" si="17"/>
        <v>DEP02</v>
      </c>
      <c r="EP5">
        <f t="shared" si="17"/>
        <v>0</v>
      </c>
      <c r="EQ5" t="str">
        <f t="shared" ref="EQ5:EV5" si="18">EJ5</f>
        <v>OVERALL00</v>
      </c>
      <c r="ER5" t="str">
        <f t="shared" si="18"/>
        <v>RF00</v>
      </c>
      <c r="ES5" t="str">
        <f t="shared" si="18"/>
        <v>IC00</v>
      </c>
      <c r="ET5" t="str">
        <f t="shared" si="18"/>
        <v>ID00</v>
      </c>
      <c r="EU5" t="str">
        <f t="shared" si="18"/>
        <v>RF02</v>
      </c>
      <c r="EV5" t="str">
        <f t="shared" si="18"/>
        <v>DEP02</v>
      </c>
      <c r="EX5" t="str">
        <f t="shared" ref="EX5:FD5" si="19">EJ5</f>
        <v>OVERALL00</v>
      </c>
      <c r="EY5" t="str">
        <f t="shared" si="19"/>
        <v>RF00</v>
      </c>
      <c r="EZ5" t="str">
        <f t="shared" si="19"/>
        <v>IC00</v>
      </c>
      <c r="FA5" t="str">
        <f t="shared" si="19"/>
        <v>ID00</v>
      </c>
      <c r="FB5" t="str">
        <f t="shared" si="19"/>
        <v>RF02</v>
      </c>
      <c r="FC5" t="str">
        <f t="shared" si="19"/>
        <v>DEP02</v>
      </c>
      <c r="FD5">
        <f t="shared" si="19"/>
        <v>0</v>
      </c>
      <c r="FE5" t="str">
        <f t="shared" ref="FE5:FX5" si="20">EX5</f>
        <v>OVERALL00</v>
      </c>
      <c r="FF5" t="str">
        <f t="shared" si="20"/>
        <v>RF00</v>
      </c>
      <c r="FG5" t="str">
        <f t="shared" si="20"/>
        <v>IC00</v>
      </c>
      <c r="FH5" t="str">
        <f t="shared" si="20"/>
        <v>ID00</v>
      </c>
      <c r="FI5" t="str">
        <f t="shared" si="20"/>
        <v>RF02</v>
      </c>
      <c r="FJ5" t="str">
        <f t="shared" si="20"/>
        <v>DEP02</v>
      </c>
      <c r="FK5">
        <f t="shared" si="20"/>
        <v>0</v>
      </c>
      <c r="FL5" t="str">
        <f t="shared" si="20"/>
        <v>OVERALL00</v>
      </c>
      <c r="FM5" t="str">
        <f t="shared" si="20"/>
        <v>RF00</v>
      </c>
      <c r="FN5" t="str">
        <f t="shared" si="20"/>
        <v>IC00</v>
      </c>
      <c r="FO5" t="str">
        <f t="shared" si="20"/>
        <v>ID00</v>
      </c>
      <c r="FP5" t="str">
        <f t="shared" si="20"/>
        <v>RF02</v>
      </c>
      <c r="FQ5" t="str">
        <f t="shared" si="20"/>
        <v>DEP02</v>
      </c>
      <c r="FR5">
        <f t="shared" si="20"/>
        <v>0</v>
      </c>
      <c r="FS5" t="str">
        <f t="shared" si="20"/>
        <v>OVERALL00</v>
      </c>
      <c r="FT5" t="str">
        <f t="shared" si="20"/>
        <v>RF00</v>
      </c>
      <c r="FU5" t="str">
        <f t="shared" si="20"/>
        <v>IC00</v>
      </c>
      <c r="FV5" t="str">
        <f t="shared" si="20"/>
        <v>ID00</v>
      </c>
      <c r="FW5" t="str">
        <f t="shared" si="20"/>
        <v>RF02</v>
      </c>
      <c r="FX5" t="str">
        <f t="shared" si="20"/>
        <v>DEP02</v>
      </c>
    </row>
    <row r="6" spans="1:182">
      <c r="G6">
        <f ca="1">MATCH(G5,uxb_scores_2007!$A$3:$A$8,0)</f>
        <v>1</v>
      </c>
      <c r="H6">
        <f ca="1">MATCH(H5,uxb_scores_2007!$A$3:$A$8,0)</f>
        <v>2</v>
      </c>
      <c r="I6">
        <f ca="1">MATCH(I5,uxb_scores_2007!$A$3:$A$8,0)</f>
        <v>3</v>
      </c>
      <c r="J6">
        <f ca="1">MATCH(J5,uxb_scores_2007!$A$3:$A$8,0)</f>
        <v>4</v>
      </c>
      <c r="K6">
        <f ca="1">MATCH(K5,uxb_scores_2007!$A$3:$A$60,0)</f>
        <v>11</v>
      </c>
      <c r="L6">
        <f ca="1">MATCH(L5,uxb_scores_2007!$A$3:$A$60,0)</f>
        <v>28</v>
      </c>
      <c r="N6">
        <f>G6</f>
        <v>1</v>
      </c>
      <c r="O6">
        <f t="shared" si="0"/>
        <v>2</v>
      </c>
      <c r="P6">
        <f t="shared" si="0"/>
        <v>3</v>
      </c>
      <c r="Q6">
        <f t="shared" si="0"/>
        <v>4</v>
      </c>
      <c r="R6">
        <f t="shared" si="0"/>
        <v>11</v>
      </c>
      <c r="S6">
        <f>L6</f>
        <v>28</v>
      </c>
    </row>
    <row r="7" spans="1:182">
      <c r="A7" t="s">
        <v>456</v>
      </c>
      <c r="B7" t="s">
        <v>457</v>
      </c>
      <c r="C7" t="s">
        <v>458</v>
      </c>
      <c r="D7" t="s">
        <v>459</v>
      </c>
      <c r="E7" s="4" t="s">
        <v>460</v>
      </c>
    </row>
    <row r="8" spans="1:182">
      <c r="A8">
        <v>1</v>
      </c>
      <c r="B8">
        <f ca="1">uxb_countries!D3</f>
        <v>1</v>
      </c>
      <c r="C8" t="str">
        <f ca="1">uxb_countries!B3</f>
        <v>Argentina</v>
      </c>
      <c r="D8" t="str">
        <f ca="1">uxb_countries!A3</f>
        <v>AR</v>
      </c>
      <c r="E8" s="4">
        <f ca="1">MATCH(D8,uxb_scores_2007!$J$2:$AC$2,0)</f>
        <v>1</v>
      </c>
      <c r="G8" s="3">
        <f ca="1">IF($B8=0,"",ROUND(OFFSET(uxb_scores_2008!$I$2,G$6,$E8),2))</f>
        <v>28.5</v>
      </c>
      <c r="H8" s="3">
        <f ca="1">IF($B8=0,"",ROUND(OFFSET(uxb_scores_2008!$I$2,H$6,$E8),2))</f>
        <v>18.75</v>
      </c>
      <c r="I8" s="3">
        <f ca="1">IF($B8=0,"",ROUND(OFFSET(uxb_scores_2008!$I$2,I$6,$E8),2))</f>
        <v>38.33</v>
      </c>
      <c r="J8" s="3">
        <f ca="1">IF($B8=0,"",ROUND(OFFSET(uxb_scores_2008!$I$2,J$6,$E8),2))</f>
        <v>33.33</v>
      </c>
      <c r="K8" s="3">
        <f ca="1">IF($B8=0,"",ROUND(OFFSET(uxb_scores_2008!$I$2,K$6,$E8),2))</f>
        <v>1</v>
      </c>
      <c r="L8">
        <f ca="1">IF($B8=0,"",ROUND(OFFSET(uxb_scores_2008!$I$2,L$6,$E8),4))</f>
        <v>2.8E-3</v>
      </c>
      <c r="U8">
        <f ca="1">IF($B8=1,RANK(G8,G$8:G$30,$B$1)+COUNTIF(G$8:G8,G8)-1,"")</f>
        <v>17</v>
      </c>
      <c r="V8">
        <f ca="1">IF($B8=1,RANK(H8,H$8:H$30,$B$1)+COUNTIF(H$8:H8,H8)-1,"")</f>
        <v>20</v>
      </c>
      <c r="W8">
        <f ca="1">IF($B8=1,RANK(I8,I$8:I$30,$B$1)+COUNTIF(I$8:I8,I8)-1,"")</f>
        <v>17</v>
      </c>
      <c r="X8">
        <f ca="1">IF($B8=1,RANK(J8,J$8:J$30,$B$1)+COUNTIF(J$8:J8,J8)-1,"")</f>
        <v>11</v>
      </c>
      <c r="Y8">
        <f ca="1">IF($B8=1,RANK(K8,K$8:K$30,$B$1)+COUNTIF(K$8:K8,K8)-1,"")</f>
        <v>13</v>
      </c>
      <c r="Z8">
        <f ca="1">IF($B8=1,RANK(L8,L$8:L$30,$B$1)+COUNTIF(L$8:L8,L8)-1,"")</f>
        <v>15</v>
      </c>
      <c r="AB8">
        <f ca="1">IF(ISERROR(MATCH($A8,U$8:U$30,0)),0,MATCH($A8,U$8:U$30,0))</f>
        <v>18</v>
      </c>
      <c r="AC8">
        <f t="shared" ref="AC8:AG22" ca="1" si="21">IF(ISERROR(MATCH($A8,V$8:V$30,0)),0,MATCH($A8,V$8:V$30,0))</f>
        <v>2</v>
      </c>
      <c r="AD8">
        <f t="shared" ca="1" si="21"/>
        <v>4</v>
      </c>
      <c r="AE8">
        <f t="shared" ca="1" si="21"/>
        <v>8</v>
      </c>
      <c r="AF8">
        <f t="shared" ca="1" si="21"/>
        <v>18</v>
      </c>
      <c r="AG8">
        <f t="shared" ca="1" si="21"/>
        <v>15</v>
      </c>
      <c r="AI8" t="str">
        <f ca="1">IF(AB8=0,"",INDEX($C$8:$C$30,AB8))</f>
        <v>Peru</v>
      </c>
      <c r="AJ8" t="str">
        <f t="shared" ref="AJ8:AN22" ca="1" si="22">IF(AC8=0,"",INDEX($C$8:$C$30,AC8))</f>
        <v>Bolivia</v>
      </c>
      <c r="AK8" t="str">
        <f t="shared" ca="1" si="22"/>
        <v>Chile</v>
      </c>
      <c r="AL8" t="str">
        <f t="shared" ca="1" si="22"/>
        <v>Ecuador</v>
      </c>
      <c r="AM8" t="str">
        <f t="shared" ca="1" si="22"/>
        <v>Peru</v>
      </c>
      <c r="AN8" t="str">
        <f t="shared" ca="1" si="22"/>
        <v>Nicaragua</v>
      </c>
      <c r="AP8">
        <f ca="1">IF(AI8=0,"",ROUND(INDEX(G$8:G$30,AB8),1))</f>
        <v>76.599999999999994</v>
      </c>
      <c r="AQ8">
        <f ca="1">IF(AJ8=0,"",ROUND(INDEX(H$8:H$30,AC8),1))</f>
        <v>87.5</v>
      </c>
      <c r="AR8">
        <f ca="1">IF(AK8=0,"",ROUND(INDEX(I$8:I$30,AD8),1))</f>
        <v>74.2</v>
      </c>
      <c r="AS8">
        <f ca="1">IF(AL8=0,"",ROUND(INDEX(J$8:J$30,AE8),1))</f>
        <v>83.3</v>
      </c>
      <c r="AT8">
        <f ca="1">IF(AM8=0,"",ROUND(INDEX(K$8:K$30,AF8),1))</f>
        <v>4</v>
      </c>
      <c r="AU8" s="203">
        <f ca="1">IF(AN8=0,"",ROUND(INDEX(L$8:L$30,AG8),4))</f>
        <v>0.58350000000000002</v>
      </c>
      <c r="AV8" s="203"/>
      <c r="AW8" s="206">
        <f ca="1">RANK(AP8,AP$8:AP$27)</f>
        <v>1</v>
      </c>
      <c r="AX8" s="206">
        <f t="shared" ref="AX8:BB23" ca="1" si="23">RANK(AQ8,AQ$8:AQ$27)</f>
        <v>1</v>
      </c>
      <c r="AY8" s="206">
        <f t="shared" ca="1" si="23"/>
        <v>1</v>
      </c>
      <c r="AZ8" s="206">
        <f t="shared" ca="1" si="23"/>
        <v>1</v>
      </c>
      <c r="BA8" s="206">
        <f t="shared" ca="1" si="23"/>
        <v>1</v>
      </c>
      <c r="BB8" s="206">
        <f t="shared" ca="1" si="23"/>
        <v>1</v>
      </c>
      <c r="BC8" s="206"/>
      <c r="BD8" s="186">
        <f ca="1">IF(OR(AW8=AW7,AW8=AW9),CONCATENATE("=",AW8),AW8)</f>
        <v>1</v>
      </c>
      <c r="BE8" s="186" t="str">
        <f t="shared" ref="BE8:BI9" ca="1" si="24">IF(OR(AX8=AX7,AX8=AX9),CONCATENATE("=",AX8),AX8)</f>
        <v>=1</v>
      </c>
      <c r="BF8" s="186">
        <f t="shared" ca="1" si="24"/>
        <v>1</v>
      </c>
      <c r="BG8" s="186">
        <f t="shared" ca="1" si="24"/>
        <v>1</v>
      </c>
      <c r="BH8" s="186">
        <f t="shared" ca="1" si="24"/>
        <v>1</v>
      </c>
      <c r="BI8" s="186">
        <f t="shared" ca="1" si="24"/>
        <v>1</v>
      </c>
      <c r="BK8">
        <f ca="1">IF($B8=0,"",ROUND(OFFSET(uxb_scores_2007!$I$2,G$6,AB8),1))</f>
        <v>74.099999999999994</v>
      </c>
      <c r="BL8">
        <f ca="1">IF($B8=0,"",ROUND(OFFSET(uxb_scores_2007!$I$2,H$6,AC8),1))</f>
        <v>100</v>
      </c>
      <c r="BM8">
        <f ca="1">IF($B8=0,"",ROUND(OFFSET(uxb_scores_2007!$I$2,I$6,AD8),1))</f>
        <v>75</v>
      </c>
      <c r="BN8">
        <f ca="1">IF($B8=0,"",ROUND(OFFSET(uxb_scores_2007!$I$2,J$6,AE8),1))</f>
        <v>75</v>
      </c>
      <c r="BO8">
        <f ca="1">IF($B8=0,"",ROUND(OFFSET(uxb_scores_2007!$I$2,K$6,AF8),1))</f>
        <v>3</v>
      </c>
      <c r="BP8" s="203">
        <f ca="1">IF($B8=0,"",ROUND(OFFSET(uxb_scores_2007!$I$2,L$6,AG8),4))</f>
        <v>0.58350000000000002</v>
      </c>
      <c r="BR8">
        <f t="shared" ref="BR8:BW8" ca="1" si="25">IF($B8=1,RANK(BK8,BK$8:BK$30,$B$1),"")</f>
        <v>2</v>
      </c>
      <c r="BS8">
        <f t="shared" ca="1" si="25"/>
        <v>1</v>
      </c>
      <c r="BT8">
        <f t="shared" ca="1" si="25"/>
        <v>1</v>
      </c>
      <c r="BU8">
        <f t="shared" ca="1" si="25"/>
        <v>1</v>
      </c>
      <c r="BV8">
        <f t="shared" ca="1" si="25"/>
        <v>2</v>
      </c>
      <c r="BW8">
        <f t="shared" ca="1" si="25"/>
        <v>1</v>
      </c>
      <c r="BY8">
        <f t="shared" ref="BY8:BY27" ca="1" si="26">IF(BK8=-1,"new",ROUND(AP8-BK8,1))</f>
        <v>2.5</v>
      </c>
      <c r="BZ8">
        <f t="shared" ref="BZ8:BZ27" ca="1" si="27">IF(BL8=-1,"new",ROUND(AQ8-BL8,1))</f>
        <v>-12.5</v>
      </c>
      <c r="CA8">
        <f t="shared" ref="CA8:CA27" ca="1" si="28">IF(BM8=-1,"new",ROUND(AR8-BM8,1))</f>
        <v>-0.8</v>
      </c>
      <c r="CB8">
        <f t="shared" ref="CB8:CB27" ca="1" si="29">IF(BN8=-1,"new",ROUND(AS8-BN8,1))</f>
        <v>8.3000000000000007</v>
      </c>
      <c r="CC8">
        <f t="shared" ref="CC8:CC27" ca="1" si="30">IF(BO8=-1,"new",ROUND(AT8-BO8,1))</f>
        <v>1</v>
      </c>
      <c r="CD8">
        <f t="shared" ref="CD8:CD27" ca="1" si="31">IF(BP8=-1,"new",ROUND(AU8-BP8,1))</f>
        <v>0</v>
      </c>
      <c r="CF8" s="206">
        <f t="shared" ref="CF8:CK8" ca="1" si="32">BR8-AW8</f>
        <v>1</v>
      </c>
      <c r="CG8" s="206">
        <f t="shared" ca="1" si="32"/>
        <v>0</v>
      </c>
      <c r="CH8" s="206">
        <f t="shared" ca="1" si="32"/>
        <v>0</v>
      </c>
      <c r="CI8" s="206">
        <f t="shared" ca="1" si="32"/>
        <v>0</v>
      </c>
      <c r="CJ8" s="206">
        <f t="shared" ca="1" si="32"/>
        <v>1</v>
      </c>
      <c r="CK8" s="206">
        <f t="shared" ca="1" si="32"/>
        <v>0</v>
      </c>
      <c r="CM8" t="str">
        <f ca="1">IF(BK8=-1,"new",IF(BY8=0,"-",IF(BY8&gt;0,CONCATENATE("+",TEXT(BY8,"0.0")),CONCATENATE("-",TEXT(ABS(BY8),"0.0")))))</f>
        <v>+2.5</v>
      </c>
      <c r="CN8" t="str">
        <f t="shared" ref="CN8:CR23" ca="1" si="33">IF(BL8=-1,"new",IF(BZ8=0,"-",IF(BZ8&gt;0,CONCATENATE("+",TEXT(BZ8,"0.0")),CONCATENATE("-",TEXT(ABS(BZ8),"0.0")))))</f>
        <v>-12.5</v>
      </c>
      <c r="CO8" t="str">
        <f t="shared" ca="1" si="33"/>
        <v>-0.8</v>
      </c>
      <c r="CP8" t="str">
        <f t="shared" ca="1" si="33"/>
        <v>+8.3</v>
      </c>
      <c r="CQ8" t="str">
        <f t="shared" ca="1" si="33"/>
        <v>+1.0</v>
      </c>
      <c r="CR8" t="str">
        <f t="shared" ca="1" si="33"/>
        <v>-</v>
      </c>
      <c r="CT8">
        <f ca="1">IF(BK8=-1,0,IF(BY8=0,0,IF(BY8&gt;0,1,-1)))</f>
        <v>1</v>
      </c>
      <c r="CU8">
        <f t="shared" ref="CU8:CY23" ca="1" si="34">IF(BL8=-1,0,IF(BZ8=0,0,IF(BZ8&gt;0,1,-1)))</f>
        <v>-1</v>
      </c>
      <c r="CV8">
        <f t="shared" ca="1" si="34"/>
        <v>-1</v>
      </c>
      <c r="CW8">
        <f t="shared" ca="1" si="34"/>
        <v>1</v>
      </c>
      <c r="CX8">
        <f t="shared" ca="1" si="34"/>
        <v>1</v>
      </c>
      <c r="CY8">
        <f t="shared" ca="1" si="34"/>
        <v>0</v>
      </c>
      <c r="DA8" t="str">
        <f t="shared" ref="DA8:DF8" ca="1" si="35">IF(BK8=-1,"",IF(CF8=0,"-",IF(CF8&gt;0,CONCATENATE("+",CF8),CONCATENATE("-",ABS(CF8)))))</f>
        <v>+1</v>
      </c>
      <c r="DB8" t="str">
        <f t="shared" ca="1" si="35"/>
        <v>-</v>
      </c>
      <c r="DC8" t="str">
        <f t="shared" ca="1" si="35"/>
        <v>-</v>
      </c>
      <c r="DD8" t="str">
        <f t="shared" ca="1" si="35"/>
        <v>-</v>
      </c>
      <c r="DE8" t="str">
        <f t="shared" ca="1" si="35"/>
        <v>+1</v>
      </c>
      <c r="DF8" t="str">
        <f t="shared" ca="1" si="35"/>
        <v>-</v>
      </c>
      <c r="DH8">
        <f t="shared" ref="DH8:DM8" ca="1" si="36">IF(BK8=-1,0,IF(CF8=0,0,IF(CF8&gt;0,1,-1)))</f>
        <v>1</v>
      </c>
      <c r="DI8">
        <f t="shared" ca="1" si="36"/>
        <v>0</v>
      </c>
      <c r="DJ8">
        <f t="shared" ca="1" si="36"/>
        <v>0</v>
      </c>
      <c r="DK8">
        <f t="shared" ca="1" si="36"/>
        <v>0</v>
      </c>
      <c r="DL8">
        <f t="shared" ca="1" si="36"/>
        <v>1</v>
      </c>
      <c r="DM8">
        <f t="shared" ca="1" si="36"/>
        <v>0</v>
      </c>
      <c r="DO8">
        <f ca="1">RANK(BY8,BY$8:BY$27)+COUNTIF(BY8:BY$27,BY8)-1</f>
        <v>4</v>
      </c>
      <c r="DP8">
        <f ca="1">RANK(BZ8,BZ$8:BZ$27)+COUNTIF(BZ8:BZ$27,BZ8)-1</f>
        <v>15</v>
      </c>
      <c r="DQ8">
        <f ca="1">RANK(CA8,CA$8:CA$27)+COUNTIF(CA8:CA$27,CA8)-1</f>
        <v>11</v>
      </c>
      <c r="DR8">
        <f ca="1">RANK(CB8,CB$8:CB$27)+COUNTIF(CB8:CB$27,CB8)-1</f>
        <v>5</v>
      </c>
      <c r="DS8">
        <f ca="1">RANK(CC8,CC$8:CC$27)+COUNTIF(CC8:CC$27,CC8)-1</f>
        <v>3</v>
      </c>
      <c r="DT8">
        <f ca="1">RANK(CD8,CD$8:CD$27)+COUNTIF(CD8:CD$27,CD8)-1</f>
        <v>20</v>
      </c>
      <c r="DV8">
        <f ca="1">IF(ISERROR(MATCH($A8,DO$8:DO$30,0)),0,MATCH($A8,DO$8:DO$30,0))</f>
        <v>5</v>
      </c>
      <c r="DW8">
        <f t="shared" ref="DW8:EA23" ca="1" si="37">IF(ISERROR(MATCH($A8,DP$8:DP$30,0)),0,MATCH($A8,DP$8:DP$30,0))</f>
        <v>4</v>
      </c>
      <c r="DX8">
        <f t="shared" ca="1" si="37"/>
        <v>8</v>
      </c>
      <c r="DY8">
        <f t="shared" ca="1" si="37"/>
        <v>7</v>
      </c>
      <c r="DZ8">
        <f t="shared" ca="1" si="37"/>
        <v>6</v>
      </c>
      <c r="EA8">
        <f t="shared" ca="1" si="37"/>
        <v>20</v>
      </c>
      <c r="EC8" t="str">
        <f t="shared" ref="EC8:EC27" ca="1" si="38">IF(DV8=0,"",INDEX(AI$8:AI$30,DV8))</f>
        <v>Colombia</v>
      </c>
      <c r="ED8" t="str">
        <f t="shared" ref="ED8:ED27" ca="1" si="39">IF(DW8=0,"",INDEX(AJ$8:AJ$30,DW8))</f>
        <v>Colombia</v>
      </c>
      <c r="EE8" t="str">
        <f t="shared" ref="EE8:EE27" ca="1" si="40">IF(DX8=0,"",INDEX(AK$8:AK$30,DX8))</f>
        <v>Colombia</v>
      </c>
      <c r="EF8" t="str">
        <f t="shared" ref="EF8:EF27" ca="1" si="41">IF(DY8=0,"",INDEX(AL$8:AL$30,DY8))</f>
        <v>Guatemala</v>
      </c>
      <c r="EG8" t="str">
        <f t="shared" ref="EG8:EG27" ca="1" si="42">IF(DZ8=0,"",INDEX(AM$8:AM$30,DZ8))</f>
        <v>Colombia</v>
      </c>
      <c r="EH8" t="str">
        <f t="shared" ref="EH8:EH27" ca="1" si="43">IF(EA8=0,"",INDEX(AN$8:AN$30,EA8))</f>
        <v>Panama</v>
      </c>
      <c r="EJ8">
        <f t="shared" ref="EJ8:EJ27" ca="1" si="44">IF(DV8=0,"",INDEX(AP$8:AP$30,DV8))</f>
        <v>58.6</v>
      </c>
      <c r="EK8">
        <f t="shared" ref="EK8:EK27" ca="1" si="45">IF(DW8=0,"",INDEX(AQ$8:AQ$30,DW8))</f>
        <v>62.5</v>
      </c>
      <c r="EL8">
        <f t="shared" ref="EL8:EL27" ca="1" si="46">IF(DX8=0,"",INDEX(AR$8:AR$30,DX8))</f>
        <v>51.4</v>
      </c>
      <c r="EM8">
        <f t="shared" ref="EM8:EM27" ca="1" si="47">IF(DY8=0,"",INDEX(AS$8:AS$30,DY8))</f>
        <v>58.3</v>
      </c>
      <c r="EN8">
        <f t="shared" ref="EN8:EN27" ca="1" si="48">IF(DZ8=0,"",INDEX(AT$8:AT$30,DZ8))</f>
        <v>2</v>
      </c>
      <c r="EO8">
        <f t="shared" ref="EO8:EO27" ca="1" si="49">IF(EA8=0,"",INDEX(AU$8:AU$30,EA8))</f>
        <v>0</v>
      </c>
      <c r="EQ8">
        <f ca="1">IF(DV8=0,"",INDEX(BK$8:BK$30,DV8))</f>
        <v>46.1</v>
      </c>
      <c r="ER8">
        <f t="shared" ref="ER8:EV23" ca="1" si="50">IF(DW8=0,"",INDEX(BL$8:BL$30,DW8))</f>
        <v>50</v>
      </c>
      <c r="ES8">
        <f t="shared" ca="1" si="50"/>
        <v>47.1</v>
      </c>
      <c r="ET8">
        <f t="shared" ca="1" si="50"/>
        <v>33.299999999999997</v>
      </c>
      <c r="EU8">
        <f t="shared" ca="1" si="50"/>
        <v>1</v>
      </c>
      <c r="EV8">
        <f t="shared" ca="1" si="50"/>
        <v>0</v>
      </c>
      <c r="EX8" t="str">
        <f ca="1">IF(DV8=0,"",INDEX(CM$8:CM$30,DV8))</f>
        <v>+12.5</v>
      </c>
      <c r="EY8" t="str">
        <f t="shared" ref="EY8:FB23" ca="1" si="51">IF(DW8=0,"",INDEX(CN$8:CN$30,DW8))</f>
        <v>+12.5</v>
      </c>
      <c r="EZ8" t="str">
        <f t="shared" ca="1" si="51"/>
        <v>+4.3</v>
      </c>
      <c r="FA8" t="str">
        <f t="shared" ca="1" si="51"/>
        <v>+25.0</v>
      </c>
      <c r="FB8" t="str">
        <f t="shared" ca="1" si="51"/>
        <v>+1.0</v>
      </c>
      <c r="FE8">
        <f ca="1">IF(DV8=0,"",INDEX(CT$8:CT$30,DV8))</f>
        <v>1</v>
      </c>
      <c r="FF8">
        <f t="shared" ref="FF8:FJ23" ca="1" si="52">IF(DW8=0,"",INDEX(CU$8:CU$30,DW8))</f>
        <v>1</v>
      </c>
      <c r="FG8">
        <f t="shared" ca="1" si="52"/>
        <v>1</v>
      </c>
      <c r="FH8">
        <f t="shared" ca="1" si="52"/>
        <v>1</v>
      </c>
      <c r="FI8">
        <f t="shared" ca="1" si="52"/>
        <v>1</v>
      </c>
      <c r="FJ8">
        <f ca="1">IF(EA8=0,"",INDEX(CY$8:CY$30,EA8))</f>
        <v>0</v>
      </c>
      <c r="FL8" t="str">
        <f ca="1">IF(DV8=0,"",INDEX(DA$8:DA$30,DV8))</f>
        <v>+5</v>
      </c>
      <c r="FM8" t="str">
        <f t="shared" ref="FM8:FQ23" ca="1" si="53">IF(DW8=0,"",INDEX(DB$8:DB$30,DW8))</f>
        <v>+4</v>
      </c>
      <c r="FN8" t="str">
        <f t="shared" ca="1" si="53"/>
        <v>-1</v>
      </c>
      <c r="FO8" t="str">
        <f t="shared" ca="1" si="53"/>
        <v>+4</v>
      </c>
      <c r="FP8" t="str">
        <f t="shared" ca="1" si="53"/>
        <v>+5</v>
      </c>
      <c r="FQ8" t="str">
        <f t="shared" ca="1" si="53"/>
        <v>-</v>
      </c>
      <c r="FS8">
        <f ca="1">IF(DV8=0,"",INDEX(DH$8:DH$30,DV8))</f>
        <v>1</v>
      </c>
      <c r="FT8">
        <f t="shared" ref="FT8:FX23" ca="1" si="54">IF(DW8=0,"",INDEX(DI$8:DI$30,DW8))</f>
        <v>1</v>
      </c>
      <c r="FU8">
        <f t="shared" ca="1" si="54"/>
        <v>-1</v>
      </c>
      <c r="FV8">
        <f t="shared" ca="1" si="54"/>
        <v>1</v>
      </c>
      <c r="FW8">
        <f t="shared" ca="1" si="54"/>
        <v>1</v>
      </c>
      <c r="FX8">
        <f t="shared" ca="1" si="54"/>
        <v>0</v>
      </c>
      <c r="FZ8">
        <f ca="1">IF(DV8=0,"",RANK(BK8,BK$8:BK$30)-RANK(EJ8,EJ$8:EJ$30))</f>
        <v>-3</v>
      </c>
    </row>
    <row r="9" spans="1:182">
      <c r="A9">
        <v>2</v>
      </c>
      <c r="B9">
        <f ca="1">uxb_countries!D4</f>
        <v>1</v>
      </c>
      <c r="C9" t="str">
        <f ca="1">uxb_countries!B4</f>
        <v>Bolivia</v>
      </c>
      <c r="D9" t="str">
        <f ca="1">uxb_countries!A4</f>
        <v>BO</v>
      </c>
      <c r="E9" s="4">
        <f ca="1">MATCH(D9,uxb_scores_2007!$J$2:$AC$2,0)</f>
        <v>2</v>
      </c>
      <c r="G9" s="3">
        <f ca="1">IF($B9=0,"",ROUND(OFFSET(uxb_scores_2008!$I$2,G$6,$E9),2))</f>
        <v>74.39</v>
      </c>
      <c r="H9" s="3">
        <f ca="1">IF($B9=0,"",ROUND(OFFSET(uxb_scores_2008!$I$2,H$6,$E9),2))</f>
        <v>87.5</v>
      </c>
      <c r="I9" s="3">
        <f ca="1">IF($B9=0,"",ROUND(OFFSET(uxb_scores_2008!$I$2,I$6,$E9),2))</f>
        <v>46.94</v>
      </c>
      <c r="J9" s="3">
        <f ca="1">IF($B9=0,"",ROUND(OFFSET(uxb_scores_2008!$I$2,J$6,$E9),2))</f>
        <v>75</v>
      </c>
      <c r="K9" s="3">
        <f ca="1">IF($B9=0,"",ROUND(OFFSET(uxb_scores_2008!$I$2,K$6,$E9),2))</f>
        <v>3</v>
      </c>
      <c r="L9">
        <f ca="1">IF($B9=0,"",ROUND(OFFSET(uxb_scores_2008!$I$2,L$6,$E9),4))</f>
        <v>0.31559999999999999</v>
      </c>
      <c r="U9">
        <f ca="1">IF($B9=1,RANK(G9,G$8:G$30,$B$1)+COUNTIF(G$8:G9,G9)-1,"")</f>
        <v>2</v>
      </c>
      <c r="V9">
        <f ca="1">IF($B9=1,RANK(H9,H$8:H$30,$B$1)+COUNTIF(H$8:H9,H9)-1,"")</f>
        <v>1</v>
      </c>
      <c r="W9">
        <f ca="1">IF($B9=1,RANK(I9,I$8:I$30,$B$1)+COUNTIF(I$8:I9,I9)-1,"")</f>
        <v>10</v>
      </c>
      <c r="X9">
        <f ca="1">IF($B9=1,RANK(J9,J$8:J$30,$B$1)+COUNTIF(J$8:J9,J9)-1,"")</f>
        <v>2</v>
      </c>
      <c r="Y9">
        <f ca="1">IF($B9=1,RANK(K9,K$8:K$30,$B$1)+COUNTIF(K$8:K9,K9)-1,"")</f>
        <v>2</v>
      </c>
      <c r="Z9">
        <f ca="1">IF($B9=1,RANK(L9,L$8:L$30,$B$1)+COUNTIF(L$8:L9,L9)-1,"")</f>
        <v>2</v>
      </c>
      <c r="AB9">
        <f t="shared" ref="AB9:AB22" ca="1" si="55">IF(ISERROR(MATCH($A9,U$8:U$30,0)),0,MATCH($A9,U$8:U$30,0))</f>
        <v>2</v>
      </c>
      <c r="AC9">
        <f t="shared" ca="1" si="21"/>
        <v>18</v>
      </c>
      <c r="AD9">
        <f t="shared" ca="1" si="21"/>
        <v>6</v>
      </c>
      <c r="AE9">
        <f t="shared" ca="1" si="21"/>
        <v>2</v>
      </c>
      <c r="AF9">
        <f t="shared" ca="1" si="21"/>
        <v>2</v>
      </c>
      <c r="AG9">
        <f t="shared" ca="1" si="21"/>
        <v>2</v>
      </c>
      <c r="AI9" t="str">
        <f t="shared" ref="AI9:AI22" ca="1" si="56">IF(AB9=0,"",INDEX($C$8:$C$30,AB9))</f>
        <v>Bolivia</v>
      </c>
      <c r="AJ9" t="str">
        <f t="shared" ca="1" si="22"/>
        <v>Peru</v>
      </c>
      <c r="AK9" t="str">
        <f t="shared" ca="1" si="22"/>
        <v>Costa Rica</v>
      </c>
      <c r="AL9" t="str">
        <f t="shared" ca="1" si="22"/>
        <v>Bolivia</v>
      </c>
      <c r="AM9" t="str">
        <f t="shared" ca="1" si="22"/>
        <v>Bolivia</v>
      </c>
      <c r="AN9" t="str">
        <f t="shared" ca="1" si="22"/>
        <v>Bolivia</v>
      </c>
      <c r="AP9">
        <f t="shared" ref="AP9:AP22" ca="1" si="57">IF(AI9=0,"",ROUND(INDEX(G$8:G$30,AB9),1))</f>
        <v>74.400000000000006</v>
      </c>
      <c r="AQ9">
        <f t="shared" ref="AQ9:AQ27" ca="1" si="58">IF(AJ9=0,"",ROUND(INDEX(H$8:H$30,AC9),1))</f>
        <v>87.5</v>
      </c>
      <c r="AR9">
        <f t="shared" ref="AR9:AR27" ca="1" si="59">IF(AK9=0,"",ROUND(INDEX(I$8:I$30,AD9),1))</f>
        <v>59.7</v>
      </c>
      <c r="AS9">
        <f t="shared" ref="AS9:AS27" ca="1" si="60">IF(AL9=0,"",ROUND(INDEX(J$8:J$30,AE9),1))</f>
        <v>75</v>
      </c>
      <c r="AT9">
        <f t="shared" ref="AT9:AT27" ca="1" si="61">IF(AM9=0,"",ROUND(INDEX(K$8:K$30,AF9),1))</f>
        <v>3</v>
      </c>
      <c r="AU9" s="203">
        <f t="shared" ref="AU9:AU27" ca="1" si="62">IF(AN9=0,"",ROUND(INDEX(L$8:L$30,AG9),4))</f>
        <v>0.31559999999999999</v>
      </c>
      <c r="AV9" s="203"/>
      <c r="AW9" s="206">
        <f t="shared" ref="AW9:AW27" ca="1" si="63">RANK(AP9,AP$8:AP$27)</f>
        <v>2</v>
      </c>
      <c r="AX9" s="206">
        <f t="shared" ca="1" si="23"/>
        <v>1</v>
      </c>
      <c r="AY9" s="206">
        <f t="shared" ca="1" si="23"/>
        <v>2</v>
      </c>
      <c r="AZ9" s="206">
        <f t="shared" ca="1" si="23"/>
        <v>2</v>
      </c>
      <c r="BA9" s="206">
        <f t="shared" ca="1" si="23"/>
        <v>2</v>
      </c>
      <c r="BB9" s="206">
        <f t="shared" ca="1" si="23"/>
        <v>2</v>
      </c>
      <c r="BC9" s="206"/>
      <c r="BD9" s="186">
        <f ca="1">IF(OR(AW9=AW8,AW9=AW10),CONCATENATE("=",AW9),AW9)</f>
        <v>2</v>
      </c>
      <c r="BE9" s="186" t="str">
        <f t="shared" ca="1" si="24"/>
        <v>=1</v>
      </c>
      <c r="BF9" s="186">
        <f t="shared" ca="1" si="24"/>
        <v>2</v>
      </c>
      <c r="BG9" s="186" t="str">
        <f t="shared" ca="1" si="24"/>
        <v>=2</v>
      </c>
      <c r="BH9" s="186" t="str">
        <f t="shared" ca="1" si="24"/>
        <v>=2</v>
      </c>
      <c r="BI9" s="186">
        <f t="shared" ca="1" si="24"/>
        <v>2</v>
      </c>
      <c r="BK9">
        <f ca="1">IF($B9=0,"",ROUND(OFFSET(uxb_scores_2007!$I$2,G$6,AB9),1))</f>
        <v>79.400000000000006</v>
      </c>
      <c r="BL9">
        <f ca="1">IF($B9=0,"",ROUND(OFFSET(uxb_scores_2007!$I$2,H$6,AC9),1))</f>
        <v>81.3</v>
      </c>
      <c r="BM9">
        <f ca="1">IF($B9=0,"",ROUND(OFFSET(uxb_scores_2007!$I$2,I$6,AD9),1))</f>
        <v>-1</v>
      </c>
      <c r="BN9">
        <f ca="1">IF($B9=0,"",ROUND(OFFSET(uxb_scores_2007!$I$2,J$6,AE9),1))</f>
        <v>75</v>
      </c>
      <c r="BO9">
        <f ca="1">IF($B9=0,"",ROUND(OFFSET(uxb_scores_2007!$I$2,K$6,AF9),1))</f>
        <v>4</v>
      </c>
      <c r="BP9" s="203">
        <f ca="1">IF($B9=0,"",ROUND(OFFSET(uxb_scores_2007!$I$2,L$6,AG9),4))</f>
        <v>0.31559999999999999</v>
      </c>
      <c r="BR9">
        <f t="shared" ref="BR9:BR27" ca="1" si="64">IF($B9=1,RANK(BK9,BK$8:BK$30,$B$1),"")</f>
        <v>1</v>
      </c>
      <c r="BS9">
        <f t="shared" ref="BS9:BS27" ca="1" si="65">IF($B9=1,RANK(BL9,BL$8:BL$30,$B$1),"")</f>
        <v>2</v>
      </c>
      <c r="BT9">
        <f t="shared" ref="BT9:BT27" ca="1" si="66">IF($B9=1,RANK(BM9,BM$8:BM$30,$B$1),"")</f>
        <v>16</v>
      </c>
      <c r="BU9">
        <f t="shared" ref="BU9:BU27" ca="1" si="67">IF($B9=1,RANK(BN9,BN$8:BN$30,$B$1),"")</f>
        <v>1</v>
      </c>
      <c r="BV9">
        <f t="shared" ref="BV9:BV27" ca="1" si="68">IF($B9=1,RANK(BO9,BO$8:BO$30,$B$1),"")</f>
        <v>1</v>
      </c>
      <c r="BW9">
        <f t="shared" ref="BW9:BW27" ca="1" si="69">IF($B9=1,RANK(BP9,BP$8:BP$30,$B$1),"")</f>
        <v>2</v>
      </c>
      <c r="BY9">
        <f t="shared" ca="1" si="26"/>
        <v>-5</v>
      </c>
      <c r="BZ9">
        <f t="shared" ca="1" si="27"/>
        <v>6.2</v>
      </c>
      <c r="CA9" t="str">
        <f t="shared" ca="1" si="28"/>
        <v>new</v>
      </c>
      <c r="CB9">
        <f t="shared" ca="1" si="29"/>
        <v>0</v>
      </c>
      <c r="CC9">
        <f t="shared" ca="1" si="30"/>
        <v>-1</v>
      </c>
      <c r="CD9">
        <f t="shared" ca="1" si="31"/>
        <v>0</v>
      </c>
      <c r="CF9" s="206">
        <f t="shared" ref="CF9:CF27" ca="1" si="70">BR9-AW9</f>
        <v>-1</v>
      </c>
      <c r="CG9" s="206">
        <f t="shared" ref="CG9:CG27" ca="1" si="71">BS9-AX9</f>
        <v>1</v>
      </c>
      <c r="CH9" s="206">
        <f t="shared" ref="CH9:CH27" ca="1" si="72">BT9-AY9</f>
        <v>14</v>
      </c>
      <c r="CI9" s="206">
        <f t="shared" ref="CI9:CI27" ca="1" si="73">BU9-AZ9</f>
        <v>-1</v>
      </c>
      <c r="CJ9" s="206">
        <f t="shared" ref="CJ9:CJ27" ca="1" si="74">BV9-BA9</f>
        <v>-1</v>
      </c>
      <c r="CK9" s="206">
        <f t="shared" ref="CK9:CK27" ca="1" si="75">BW9-BB9</f>
        <v>0</v>
      </c>
      <c r="CM9" t="str">
        <f t="shared" ref="CM9:CM27" ca="1" si="76">IF(BK9=-1,"new",IF(BY9=0,"-",IF(BY9&gt;0,CONCATENATE("+",TEXT(BY9,"0.0")),CONCATENATE("-",TEXT(ABS(BY9),"0.0")))))</f>
        <v>-5.0</v>
      </c>
      <c r="CN9" t="str">
        <f t="shared" ca="1" si="33"/>
        <v>+6.2</v>
      </c>
      <c r="CO9" t="str">
        <f t="shared" ca="1" si="33"/>
        <v>new</v>
      </c>
      <c r="CP9" t="str">
        <f t="shared" ca="1" si="33"/>
        <v>-</v>
      </c>
      <c r="CQ9" t="str">
        <f t="shared" ca="1" si="33"/>
        <v>-1.0</v>
      </c>
      <c r="CR9" t="str">
        <f t="shared" ca="1" si="33"/>
        <v>-</v>
      </c>
      <c r="CT9">
        <f t="shared" ref="CT9:CT27" ca="1" si="77">IF(BK9=-1,0,IF(BY9=0,0,IF(BY9&gt;0,1,-1)))</f>
        <v>-1</v>
      </c>
      <c r="CU9">
        <f t="shared" ca="1" si="34"/>
        <v>1</v>
      </c>
      <c r="CV9">
        <f t="shared" ca="1" si="34"/>
        <v>0</v>
      </c>
      <c r="CW9">
        <f t="shared" ca="1" si="34"/>
        <v>0</v>
      </c>
      <c r="CX9">
        <f t="shared" ca="1" si="34"/>
        <v>-1</v>
      </c>
      <c r="CY9">
        <f t="shared" ca="1" si="34"/>
        <v>0</v>
      </c>
      <c r="DA9" t="str">
        <f t="shared" ref="DA9:DA27" ca="1" si="78">IF(BK9=-1,"",IF(CF9=0,"-",IF(CF9&gt;0,CONCATENATE("+",CF9),CONCATENATE("-",ABS(CF9)))))</f>
        <v>-1</v>
      </c>
      <c r="DB9" t="str">
        <f t="shared" ref="DB9:DB27" ca="1" si="79">IF(BL9=-1,"",IF(CG9=0,"-",IF(CG9&gt;0,CONCATENATE("+",CG9),CONCATENATE("-",ABS(CG9)))))</f>
        <v>+1</v>
      </c>
      <c r="DC9" t="str">
        <f t="shared" ref="DC9:DC27" ca="1" si="80">IF(BM9=-1,"",IF(CH9=0,"-",IF(CH9&gt;0,CONCATENATE("+",CH9),CONCATENATE("-",ABS(CH9)))))</f>
        <v/>
      </c>
      <c r="DD9" t="str">
        <f t="shared" ref="DD9:DD27" ca="1" si="81">IF(BN9=-1,"",IF(CI9=0,"-",IF(CI9&gt;0,CONCATENATE("+",CI9),CONCATENATE("-",ABS(CI9)))))</f>
        <v>-1</v>
      </c>
      <c r="DE9" t="str">
        <f t="shared" ref="DE9:DE27" ca="1" si="82">IF(BO9=-1,"",IF(CJ9=0,"-",IF(CJ9&gt;0,CONCATENATE("+",CJ9),CONCATENATE("-",ABS(CJ9)))))</f>
        <v>-1</v>
      </c>
      <c r="DF9" t="str">
        <f t="shared" ref="DF9:DF27" ca="1" si="83">IF(BP9=-1,"",IF(CK9=0,"-",IF(CK9&gt;0,CONCATENATE("+",CK9),CONCATENATE("-",ABS(CK9)))))</f>
        <v>-</v>
      </c>
      <c r="DH9">
        <f t="shared" ref="DH9:DH27" ca="1" si="84">IF(BK9=-1,0,IF(CF9=0,0,IF(CF9&gt;0,1,-1)))</f>
        <v>-1</v>
      </c>
      <c r="DI9">
        <f t="shared" ref="DI9:DI27" ca="1" si="85">IF(BL9=-1,0,IF(CG9=0,0,IF(CG9&gt;0,1,-1)))</f>
        <v>1</v>
      </c>
      <c r="DJ9">
        <f t="shared" ref="DJ9:DJ27" ca="1" si="86">IF(BM9=-1,0,IF(CH9=0,0,IF(CH9&gt;0,1,-1)))</f>
        <v>0</v>
      </c>
      <c r="DK9">
        <f t="shared" ref="DK9:DK27" ca="1" si="87">IF(BN9=-1,0,IF(CI9=0,0,IF(CI9&gt;0,1,-1)))</f>
        <v>-1</v>
      </c>
      <c r="DL9">
        <f t="shared" ref="DL9:DL27" ca="1" si="88">IF(BO9=-1,0,IF(CJ9=0,0,IF(CJ9&gt;0,1,-1)))</f>
        <v>-1</v>
      </c>
      <c r="DM9">
        <f t="shared" ref="DM9:DM27" ca="1" si="89">IF(BP9=-1,0,IF(CK9=0,0,IF(CK9&gt;0,1,-1)))</f>
        <v>0</v>
      </c>
      <c r="DO9">
        <f ca="1">RANK(BY9,BY$8:BY$27)+COUNTIF(BY9:BY$27,BY9)-1</f>
        <v>12</v>
      </c>
      <c r="DP9">
        <f ca="1">RANK(BZ9,BZ$8:BZ$27)+COUNTIF(BZ9:BZ$27,BZ9)-1</f>
        <v>3</v>
      </c>
      <c r="DQ9" t="e">
        <f ca="1">RANK(CA9,CA$8:CA$27)+COUNTIF(CA9:CA$27,CA9)-1</f>
        <v>#VALUE!</v>
      </c>
      <c r="DR9">
        <f ca="1">RANK(CB9,CB$8:CB$27)+COUNTIF(CB9:CB$27,CB9)-1</f>
        <v>11</v>
      </c>
      <c r="DS9">
        <f ca="1">RANK(CC9,CC$8:CC$27)+COUNTIF(CC9:CC$27,CC9)-1</f>
        <v>15</v>
      </c>
      <c r="DT9">
        <f ca="1">RANK(CD9,CD$8:CD$27)+COUNTIF(CD9:CD$27,CD9)-1</f>
        <v>19</v>
      </c>
      <c r="DV9">
        <f t="shared" ref="DV9:DV27" ca="1" si="90">IF(ISERROR(MATCH($A9,DO$8:DO$30,0)),0,MATCH($A9,DO$8:DO$30,0))</f>
        <v>7</v>
      </c>
      <c r="DW9">
        <f t="shared" ca="1" si="37"/>
        <v>8</v>
      </c>
      <c r="DX9">
        <f t="shared" ca="1" si="37"/>
        <v>12</v>
      </c>
      <c r="DY9">
        <f t="shared" ca="1" si="37"/>
        <v>6</v>
      </c>
      <c r="DZ9">
        <f t="shared" ca="1" si="37"/>
        <v>4</v>
      </c>
      <c r="EA9">
        <f t="shared" ca="1" si="37"/>
        <v>19</v>
      </c>
      <c r="EC9" t="str">
        <f t="shared" ca="1" si="38"/>
        <v>Guatemala</v>
      </c>
      <c r="ED9" t="str">
        <f t="shared" ca="1" si="39"/>
        <v>Mexico</v>
      </c>
      <c r="EE9" t="str">
        <f t="shared" ca="1" si="40"/>
        <v>Nicaragua</v>
      </c>
      <c r="EF9" t="str">
        <f t="shared" ca="1" si="41"/>
        <v>Colombia</v>
      </c>
      <c r="EG9" t="str">
        <f t="shared" ca="1" si="42"/>
        <v>Mexico</v>
      </c>
      <c r="EH9" t="str">
        <f t="shared" ca="1" si="43"/>
        <v>Jamaica</v>
      </c>
      <c r="EJ9">
        <f t="shared" ca="1" si="44"/>
        <v>54</v>
      </c>
      <c r="EK9">
        <f t="shared" ca="1" si="45"/>
        <v>56.3</v>
      </c>
      <c r="EL9">
        <f t="shared" ca="1" si="46"/>
        <v>44.2</v>
      </c>
      <c r="EM9">
        <f t="shared" ca="1" si="47"/>
        <v>58.3</v>
      </c>
      <c r="EN9">
        <f t="shared" ca="1" si="48"/>
        <v>3</v>
      </c>
      <c r="EO9">
        <f t="shared" ca="1" si="49"/>
        <v>0</v>
      </c>
      <c r="EQ9">
        <f t="shared" ref="EQ9:EQ27" ca="1" si="91">IF(DV9=0,"",INDEX(BK$8:BK$30,DV9))</f>
        <v>44</v>
      </c>
      <c r="ER9">
        <f t="shared" ca="1" si="50"/>
        <v>50</v>
      </c>
      <c r="ES9">
        <f t="shared" ca="1" si="50"/>
        <v>40</v>
      </c>
      <c r="ET9">
        <f t="shared" ca="1" si="50"/>
        <v>41.7</v>
      </c>
      <c r="EU9">
        <f t="shared" ca="1" si="50"/>
        <v>2</v>
      </c>
      <c r="EV9">
        <f t="shared" ca="1" si="50"/>
        <v>0</v>
      </c>
      <c r="EX9" t="str">
        <f t="shared" ref="EX9:EX26" ca="1" si="92">IF(DV9=0,"",INDEX(CM$8:CM$30,DV9))</f>
        <v>+10.0</v>
      </c>
      <c r="EY9" t="str">
        <f t="shared" ca="1" si="51"/>
        <v>+6.3</v>
      </c>
      <c r="EZ9" t="str">
        <f t="shared" ca="1" si="51"/>
        <v>+4.2</v>
      </c>
      <c r="FA9" t="str">
        <f t="shared" ca="1" si="51"/>
        <v>+16.6</v>
      </c>
      <c r="FB9" t="str">
        <f t="shared" ca="1" si="51"/>
        <v>+1.0</v>
      </c>
      <c r="FE9">
        <f t="shared" ref="FE9:FE27" ca="1" si="93">IF(DV9=0,"",INDEX(CT$8:CT$30,DV9))</f>
        <v>1</v>
      </c>
      <c r="FF9">
        <f t="shared" ca="1" si="52"/>
        <v>1</v>
      </c>
      <c r="FG9">
        <f t="shared" ca="1" si="52"/>
        <v>1</v>
      </c>
      <c r="FH9">
        <f t="shared" ca="1" si="52"/>
        <v>1</v>
      </c>
      <c r="FI9">
        <f t="shared" ca="1" si="52"/>
        <v>1</v>
      </c>
      <c r="FJ9">
        <f t="shared" ca="1" si="52"/>
        <v>0</v>
      </c>
      <c r="FL9" t="str">
        <f t="shared" ref="FL9:FL27" ca="1" si="94">IF(DV9=0,"",INDEX(DA$8:DA$30,DV9))</f>
        <v>+4</v>
      </c>
      <c r="FM9" t="str">
        <f t="shared" ca="1" si="53"/>
        <v>+2</v>
      </c>
      <c r="FN9" t="str">
        <f t="shared" ca="1" si="53"/>
        <v>+1</v>
      </c>
      <c r="FO9" t="str">
        <f t="shared" ca="1" si="53"/>
        <v>+2</v>
      </c>
      <c r="FP9" t="str">
        <f t="shared" ca="1" si="53"/>
        <v>+3</v>
      </c>
      <c r="FQ9" t="str">
        <f t="shared" ca="1" si="53"/>
        <v>-</v>
      </c>
      <c r="FS9">
        <f t="shared" ref="FS9:FS27" ca="1" si="95">IF(DV9=0,"",INDEX(DH$8:DH$30,DV9))</f>
        <v>1</v>
      </c>
      <c r="FT9">
        <f t="shared" ca="1" si="54"/>
        <v>1</v>
      </c>
      <c r="FU9">
        <f t="shared" ca="1" si="54"/>
        <v>1</v>
      </c>
      <c r="FV9">
        <f t="shared" ca="1" si="54"/>
        <v>1</v>
      </c>
      <c r="FW9">
        <f t="shared" ca="1" si="54"/>
        <v>1</v>
      </c>
      <c r="FX9">
        <f t="shared" ca="1" si="54"/>
        <v>0</v>
      </c>
      <c r="FZ9">
        <f t="shared" ref="FZ9:FZ27" ca="1" si="96">IF(DV9=0,"",RANK(BK9,BK$8:BK$30)-RANK(EJ9,EJ$8:EJ$30))</f>
        <v>-6</v>
      </c>
    </row>
    <row r="10" spans="1:182">
      <c r="A10">
        <v>3</v>
      </c>
      <c r="B10">
        <f ca="1">uxb_countries!D5</f>
        <v>1</v>
      </c>
      <c r="C10" t="str">
        <f ca="1">uxb_countries!B5</f>
        <v>Brazil</v>
      </c>
      <c r="D10" t="str">
        <f ca="1">uxb_countries!A5</f>
        <v>BR</v>
      </c>
      <c r="E10" s="4">
        <f ca="1">MATCH(D10,uxb_scores_2007!$J$2:$AC$2,0)</f>
        <v>3</v>
      </c>
      <c r="G10" s="3">
        <f ca="1">IF($B10=0,"",ROUND(OFFSET(uxb_scores_2008!$I$2,G$6,$E10),2))</f>
        <v>41.56</v>
      </c>
      <c r="H10" s="3">
        <f ca="1">IF($B10=0,"",ROUND(OFFSET(uxb_scores_2008!$I$2,H$6,$E10),2))</f>
        <v>43.75</v>
      </c>
      <c r="I10" s="3">
        <f ca="1">IF($B10=0,"",ROUND(OFFSET(uxb_scores_2008!$I$2,I$6,$E10),2))</f>
        <v>53.61</v>
      </c>
      <c r="J10" s="3">
        <f ca="1">IF($B10=0,"",ROUND(OFFSET(uxb_scores_2008!$I$2,J$6,$E10),2))</f>
        <v>33.33</v>
      </c>
      <c r="K10" s="3">
        <f ca="1">IF($B10=0,"",ROUND(OFFSET(uxb_scores_2008!$I$2,K$6,$E10),2))</f>
        <v>2</v>
      </c>
      <c r="L10">
        <f ca="1">IF($B10=0,"",ROUND(OFFSET(uxb_scores_2008!$I$2,L$6,$E10),4))</f>
        <v>1.29E-2</v>
      </c>
      <c r="U10">
        <f ca="1">IF($B10=1,RANK(G10,G$8:G$30,$B$1)+COUNTIF(G$8:G10,G10)-1,"")</f>
        <v>14</v>
      </c>
      <c r="V10">
        <f ca="1">IF($B10=1,RANK(H10,H$8:H$30,$B$1)+COUNTIF(H$8:H10,H10)-1,"")</f>
        <v>13</v>
      </c>
      <c r="W10">
        <f ca="1">IF($B10=1,RANK(I10,I$8:I$30,$B$1)+COUNTIF(I$8:I10,I10)-1,"")</f>
        <v>7</v>
      </c>
      <c r="X10">
        <f ca="1">IF($B10=1,RANK(J10,J$8:J$30,$B$1)+COUNTIF(J$8:J10,J10)-1,"")</f>
        <v>12</v>
      </c>
      <c r="Y10">
        <f ca="1">IF($B10=1,RANK(K10,K$8:K$30,$B$1)+COUNTIF(K$8:K10,K10)-1,"")</f>
        <v>5</v>
      </c>
      <c r="Z10">
        <f ca="1">IF($B10=1,RANK(L10,L$8:L$30,$B$1)+COUNTIF(L$8:L10,L10)-1,"")</f>
        <v>14</v>
      </c>
      <c r="AB10">
        <f t="shared" ca="1" si="55"/>
        <v>8</v>
      </c>
      <c r="AC10">
        <f t="shared" ca="1" si="21"/>
        <v>8</v>
      </c>
      <c r="AD10">
        <f t="shared" ca="1" si="21"/>
        <v>14</v>
      </c>
      <c r="AE10">
        <f t="shared" ca="1" si="21"/>
        <v>18</v>
      </c>
      <c r="AF10">
        <f t="shared" ca="1" si="21"/>
        <v>8</v>
      </c>
      <c r="AG10">
        <f t="shared" ca="1" si="21"/>
        <v>8</v>
      </c>
      <c r="AI10" t="str">
        <f t="shared" ca="1" si="56"/>
        <v>Ecuador</v>
      </c>
      <c r="AJ10" t="str">
        <f t="shared" ca="1" si="22"/>
        <v>Ecuador</v>
      </c>
      <c r="AK10" t="str">
        <f t="shared" ca="1" si="22"/>
        <v>Mexico</v>
      </c>
      <c r="AL10" t="str">
        <f t="shared" ca="1" si="22"/>
        <v>Peru</v>
      </c>
      <c r="AM10" t="str">
        <f t="shared" ca="1" si="22"/>
        <v>Ecuador</v>
      </c>
      <c r="AN10" t="str">
        <f t="shared" ca="1" si="22"/>
        <v>Ecuador</v>
      </c>
      <c r="AP10">
        <f t="shared" ca="1" si="57"/>
        <v>69.7</v>
      </c>
      <c r="AQ10">
        <f t="shared" ca="1" si="58"/>
        <v>75</v>
      </c>
      <c r="AR10">
        <f t="shared" ca="1" si="59"/>
        <v>58.3</v>
      </c>
      <c r="AS10">
        <f t="shared" ca="1" si="60"/>
        <v>75</v>
      </c>
      <c r="AT10">
        <f t="shared" ca="1" si="61"/>
        <v>3</v>
      </c>
      <c r="AU10" s="203">
        <f t="shared" ca="1" si="62"/>
        <v>0.26900000000000002</v>
      </c>
      <c r="AV10" s="203"/>
      <c r="AW10" s="206">
        <f t="shared" ca="1" si="63"/>
        <v>3</v>
      </c>
      <c r="AX10" s="206">
        <f t="shared" ca="1" si="23"/>
        <v>3</v>
      </c>
      <c r="AY10" s="206">
        <f t="shared" ca="1" si="23"/>
        <v>3</v>
      </c>
      <c r="AZ10" s="206">
        <f t="shared" ca="1" si="23"/>
        <v>2</v>
      </c>
      <c r="BA10" s="206">
        <f t="shared" ca="1" si="23"/>
        <v>2</v>
      </c>
      <c r="BB10" s="206">
        <f t="shared" ca="1" si="23"/>
        <v>3</v>
      </c>
      <c r="BC10" s="206"/>
      <c r="BD10" s="186">
        <f t="shared" ref="BD10:BD27" ca="1" si="97">IF(OR(AW10=AW9,AW10=AW11),CONCATENATE("=",AW10),AW10)</f>
        <v>3</v>
      </c>
      <c r="BE10" s="186">
        <f t="shared" ref="BE10:BI24" ca="1" si="98">IF(OR(AX10=AX9,AX10=AX11),CONCATENATE("=",AX10),AX10)</f>
        <v>3</v>
      </c>
      <c r="BF10" s="186" t="str">
        <f t="shared" ca="1" si="98"/>
        <v>=3</v>
      </c>
      <c r="BG10" s="186" t="str">
        <f t="shared" ca="1" si="98"/>
        <v>=2</v>
      </c>
      <c r="BH10" s="186" t="str">
        <f t="shared" ca="1" si="98"/>
        <v>=2</v>
      </c>
      <c r="BI10" s="186">
        <f t="shared" ca="1" si="98"/>
        <v>3</v>
      </c>
      <c r="BK10">
        <f ca="1">IF($B10=0,"",ROUND(OFFSET(uxb_scores_2007!$I$2,G$6,AB10),1))</f>
        <v>68.3</v>
      </c>
      <c r="BL10">
        <f ca="1">IF($B10=0,"",ROUND(OFFSET(uxb_scores_2007!$I$2,H$6,AC10),1))</f>
        <v>75</v>
      </c>
      <c r="BM10">
        <f ca="1">IF($B10=0,"",ROUND(OFFSET(uxb_scores_2007!$I$2,I$6,AD10),1))</f>
        <v>58.3</v>
      </c>
      <c r="BN10">
        <f ca="1">IF($B10=0,"",ROUND(OFFSET(uxb_scores_2007!$I$2,J$6,AE10),1))</f>
        <v>75</v>
      </c>
      <c r="BO10">
        <f ca="1">IF($B10=0,"",ROUND(OFFSET(uxb_scores_2007!$I$2,K$6,AF10),1))</f>
        <v>3</v>
      </c>
      <c r="BP10" s="203">
        <f ca="1">IF($B10=0,"",ROUND(OFFSET(uxb_scores_2007!$I$2,L$6,AG10),4))</f>
        <v>0.26900000000000002</v>
      </c>
      <c r="BR10">
        <f t="shared" ca="1" si="64"/>
        <v>3</v>
      </c>
      <c r="BS10">
        <f t="shared" ca="1" si="65"/>
        <v>3</v>
      </c>
      <c r="BT10">
        <f t="shared" ca="1" si="66"/>
        <v>3</v>
      </c>
      <c r="BU10">
        <f t="shared" ca="1" si="67"/>
        <v>1</v>
      </c>
      <c r="BV10">
        <f t="shared" ca="1" si="68"/>
        <v>2</v>
      </c>
      <c r="BW10">
        <f t="shared" ca="1" si="69"/>
        <v>3</v>
      </c>
      <c r="BY10">
        <f t="shared" ca="1" si="26"/>
        <v>1.4</v>
      </c>
      <c r="BZ10">
        <f t="shared" ca="1" si="27"/>
        <v>0</v>
      </c>
      <c r="CA10">
        <f t="shared" ca="1" si="28"/>
        <v>0</v>
      </c>
      <c r="CB10">
        <f t="shared" ca="1" si="29"/>
        <v>0</v>
      </c>
      <c r="CC10">
        <f t="shared" ca="1" si="30"/>
        <v>0</v>
      </c>
      <c r="CD10">
        <f t="shared" ca="1" si="31"/>
        <v>0</v>
      </c>
      <c r="CF10" s="206">
        <f t="shared" ca="1" si="70"/>
        <v>0</v>
      </c>
      <c r="CG10" s="206">
        <f t="shared" ca="1" si="71"/>
        <v>0</v>
      </c>
      <c r="CH10" s="206">
        <f t="shared" ca="1" si="72"/>
        <v>0</v>
      </c>
      <c r="CI10" s="206">
        <f t="shared" ca="1" si="73"/>
        <v>-1</v>
      </c>
      <c r="CJ10" s="206">
        <f t="shared" ca="1" si="74"/>
        <v>0</v>
      </c>
      <c r="CK10" s="206">
        <f t="shared" ca="1" si="75"/>
        <v>0</v>
      </c>
      <c r="CM10" t="str">
        <f t="shared" ca="1" si="76"/>
        <v>+1.4</v>
      </c>
      <c r="CN10" t="str">
        <f t="shared" ca="1" si="33"/>
        <v>-</v>
      </c>
      <c r="CO10" t="str">
        <f t="shared" ca="1" si="33"/>
        <v>-</v>
      </c>
      <c r="CP10" t="str">
        <f t="shared" ca="1" si="33"/>
        <v>-</v>
      </c>
      <c r="CQ10" t="str">
        <f t="shared" ca="1" si="33"/>
        <v>-</v>
      </c>
      <c r="CR10" t="str">
        <f t="shared" ca="1" si="33"/>
        <v>-</v>
      </c>
      <c r="CT10">
        <f t="shared" ca="1" si="77"/>
        <v>1</v>
      </c>
      <c r="CU10">
        <f t="shared" ca="1" si="34"/>
        <v>0</v>
      </c>
      <c r="CV10">
        <f t="shared" ca="1" si="34"/>
        <v>0</v>
      </c>
      <c r="CW10">
        <f t="shared" ca="1" si="34"/>
        <v>0</v>
      </c>
      <c r="CX10">
        <f t="shared" ca="1" si="34"/>
        <v>0</v>
      </c>
      <c r="CY10">
        <f t="shared" ca="1" si="34"/>
        <v>0</v>
      </c>
      <c r="DA10" t="str">
        <f t="shared" ca="1" si="78"/>
        <v>-</v>
      </c>
      <c r="DB10" t="str">
        <f t="shared" ca="1" si="79"/>
        <v>-</v>
      </c>
      <c r="DC10" t="str">
        <f t="shared" ca="1" si="80"/>
        <v>-</v>
      </c>
      <c r="DD10" t="str">
        <f t="shared" ca="1" si="81"/>
        <v>-1</v>
      </c>
      <c r="DE10" t="str">
        <f t="shared" ca="1" si="82"/>
        <v>-</v>
      </c>
      <c r="DF10" t="str">
        <f t="shared" ca="1" si="83"/>
        <v>-</v>
      </c>
      <c r="DH10">
        <f t="shared" ca="1" si="84"/>
        <v>0</v>
      </c>
      <c r="DI10">
        <f t="shared" ca="1" si="85"/>
        <v>0</v>
      </c>
      <c r="DJ10">
        <f t="shared" ca="1" si="86"/>
        <v>0</v>
      </c>
      <c r="DK10">
        <f t="shared" ca="1" si="87"/>
        <v>-1</v>
      </c>
      <c r="DL10">
        <f t="shared" ca="1" si="88"/>
        <v>0</v>
      </c>
      <c r="DM10">
        <f t="shared" ca="1" si="89"/>
        <v>0</v>
      </c>
      <c r="DO10">
        <f ca="1">RANK(BY10,BY$8:BY$27)+COUNTIF(BY10:BY$27,BY10)-1</f>
        <v>6</v>
      </c>
      <c r="DP10">
        <f ca="1">RANK(BZ10,BZ$8:BZ$27)+COUNTIF(BZ10:BZ$27,BZ10)-1</f>
        <v>10</v>
      </c>
      <c r="DQ10">
        <f ca="1">RANK(CA10,CA$8:CA$27)+COUNTIF(CA10:CA$27,CA10)-1</f>
        <v>9</v>
      </c>
      <c r="DR10">
        <f ca="1">RANK(CB10,CB$8:CB$27)+COUNTIF(CB10:CB$27,CB10)-1</f>
        <v>10</v>
      </c>
      <c r="DS10">
        <f ca="1">RANK(CC10,CC$8:CC$27)+COUNTIF(CC10:CC$27,CC10)-1</f>
        <v>13</v>
      </c>
      <c r="DT10">
        <f ca="1">RANK(CD10,CD$8:CD$27)+COUNTIF(CD10:CD$27,CD10)-1</f>
        <v>18</v>
      </c>
      <c r="DV10">
        <f t="shared" ca="1" si="90"/>
        <v>6</v>
      </c>
      <c r="DW10">
        <f t="shared" ca="1" si="37"/>
        <v>2</v>
      </c>
      <c r="DX10">
        <f t="shared" ca="1" si="37"/>
        <v>15</v>
      </c>
      <c r="DY10">
        <f t="shared" ca="1" si="37"/>
        <v>5</v>
      </c>
      <c r="DZ10">
        <f t="shared" ca="1" si="37"/>
        <v>1</v>
      </c>
      <c r="EA10">
        <f t="shared" ca="1" si="37"/>
        <v>18</v>
      </c>
      <c r="EC10" t="str">
        <f t="shared" ca="1" si="38"/>
        <v>Nicaragua</v>
      </c>
      <c r="ED10" t="str">
        <f t="shared" ca="1" si="39"/>
        <v>Peru</v>
      </c>
      <c r="EE10" t="str">
        <f t="shared" ca="1" si="40"/>
        <v>Dominican Rep</v>
      </c>
      <c r="EF10" t="str">
        <f t="shared" ca="1" si="41"/>
        <v>Nicaragua</v>
      </c>
      <c r="EG10" t="str">
        <f t="shared" ca="1" si="42"/>
        <v>Peru</v>
      </c>
      <c r="EH10" t="str">
        <f t="shared" ca="1" si="43"/>
        <v>Honduras</v>
      </c>
      <c r="EJ10">
        <f t="shared" ca="1" si="44"/>
        <v>58</v>
      </c>
      <c r="EK10">
        <f t="shared" ca="1" si="45"/>
        <v>87.5</v>
      </c>
      <c r="EL10">
        <f t="shared" ca="1" si="46"/>
        <v>40</v>
      </c>
      <c r="EM10">
        <f t="shared" ca="1" si="47"/>
        <v>66.7</v>
      </c>
      <c r="EN10">
        <f t="shared" ca="1" si="48"/>
        <v>4</v>
      </c>
      <c r="EO10">
        <f t="shared" ca="1" si="49"/>
        <v>0</v>
      </c>
      <c r="EQ10">
        <f t="shared" ca="1" si="91"/>
        <v>53.8</v>
      </c>
      <c r="ER10">
        <f t="shared" ca="1" si="50"/>
        <v>81.3</v>
      </c>
      <c r="ES10">
        <f t="shared" ca="1" si="50"/>
        <v>37.5</v>
      </c>
      <c r="ET10">
        <f t="shared" ca="1" si="50"/>
        <v>58.3</v>
      </c>
      <c r="EU10">
        <f t="shared" ca="1" si="50"/>
        <v>3</v>
      </c>
      <c r="EV10">
        <f t="shared" ca="1" si="50"/>
        <v>0</v>
      </c>
      <c r="EX10" t="str">
        <f t="shared" ca="1" si="92"/>
        <v>+4.2</v>
      </c>
      <c r="EY10" t="str">
        <f t="shared" ca="1" si="51"/>
        <v>+6.2</v>
      </c>
      <c r="EZ10" t="str">
        <f t="shared" ca="1" si="51"/>
        <v>+2.5</v>
      </c>
      <c r="FA10" t="str">
        <f t="shared" ca="1" si="51"/>
        <v>+8.4</v>
      </c>
      <c r="FB10" t="str">
        <f t="shared" ca="1" si="51"/>
        <v>+1.0</v>
      </c>
      <c r="FE10">
        <f t="shared" ca="1" si="93"/>
        <v>1</v>
      </c>
      <c r="FF10">
        <f t="shared" ca="1" si="52"/>
        <v>1</v>
      </c>
      <c r="FG10">
        <f t="shared" ca="1" si="52"/>
        <v>1</v>
      </c>
      <c r="FH10">
        <f t="shared" ca="1" si="52"/>
        <v>1</v>
      </c>
      <c r="FI10">
        <f t="shared" ca="1" si="52"/>
        <v>1</v>
      </c>
      <c r="FJ10">
        <f t="shared" ca="1" si="52"/>
        <v>0</v>
      </c>
      <c r="FL10" t="str">
        <f t="shared" ca="1" si="94"/>
        <v>-</v>
      </c>
      <c r="FM10" t="str">
        <f t="shared" ca="1" si="53"/>
        <v>+1</v>
      </c>
      <c r="FN10" t="str">
        <f t="shared" ca="1" si="53"/>
        <v>-</v>
      </c>
      <c r="FO10" t="str">
        <f t="shared" ca="1" si="53"/>
        <v>+2</v>
      </c>
      <c r="FP10" t="str">
        <f t="shared" ca="1" si="53"/>
        <v>+1</v>
      </c>
      <c r="FQ10" t="str">
        <f t="shared" ca="1" si="53"/>
        <v>-</v>
      </c>
      <c r="FS10">
        <f t="shared" ca="1" si="95"/>
        <v>0</v>
      </c>
      <c r="FT10">
        <f t="shared" ca="1" si="54"/>
        <v>1</v>
      </c>
      <c r="FU10">
        <f t="shared" ca="1" si="54"/>
        <v>0</v>
      </c>
      <c r="FV10">
        <f t="shared" ca="1" si="54"/>
        <v>1</v>
      </c>
      <c r="FW10">
        <f t="shared" ca="1" si="54"/>
        <v>1</v>
      </c>
      <c r="FX10">
        <f t="shared" ca="1" si="54"/>
        <v>0</v>
      </c>
      <c r="FZ10">
        <f t="shared" ca="1" si="96"/>
        <v>-3</v>
      </c>
    </row>
    <row r="11" spans="1:182">
      <c r="A11">
        <v>4</v>
      </c>
      <c r="B11">
        <f ca="1">uxb_countries!D6</f>
        <v>1</v>
      </c>
      <c r="C11" t="str">
        <f ca="1">uxb_countries!B6</f>
        <v>Chile</v>
      </c>
      <c r="D11" t="str">
        <f ca="1">uxb_countries!A6</f>
        <v>CL</v>
      </c>
      <c r="E11" s="4">
        <f ca="1">MATCH(D11,uxb_scores_2007!$J$2:$AC$2,0)</f>
        <v>4</v>
      </c>
      <c r="G11" s="3">
        <f ca="1">IF($B11=0,"",ROUND(OFFSET(uxb_scores_2008!$I$2,G$6,$E11),2))</f>
        <v>43.17</v>
      </c>
      <c r="H11" s="3">
        <f ca="1">IF($B11=0,"",ROUND(OFFSET(uxb_scores_2008!$I$2,H$6,$E11),2))</f>
        <v>37.5</v>
      </c>
      <c r="I11" s="3">
        <f ca="1">IF($B11=0,"",ROUND(OFFSET(uxb_scores_2008!$I$2,I$6,$E11),2))</f>
        <v>74.17</v>
      </c>
      <c r="J11" s="3">
        <f ca="1">IF($B11=0,"",ROUND(OFFSET(uxb_scores_2008!$I$2,J$6,$E11),2))</f>
        <v>33.33</v>
      </c>
      <c r="K11" s="3">
        <f ca="1">IF($B11=0,"",ROUND(OFFSET(uxb_scores_2008!$I$2,K$6,$E11),2))</f>
        <v>1</v>
      </c>
      <c r="L11">
        <f ca="1">IF($B11=0,"",ROUND(OFFSET(uxb_scores_2008!$I$2,L$6,$E11),4))</f>
        <v>0.19900000000000001</v>
      </c>
      <c r="U11">
        <f ca="1">IF($B11=1,RANK(G11,G$8:G$30,$B$1)+COUNTIF(G$8:G11,G11)-1,"")</f>
        <v>13</v>
      </c>
      <c r="V11">
        <f ca="1">IF($B11=1,RANK(H11,H$8:H$30,$B$1)+COUNTIF(H$8:H11,H11)-1,"")</f>
        <v>15</v>
      </c>
      <c r="W11">
        <f ca="1">IF($B11=1,RANK(I11,I$8:I$30,$B$1)+COUNTIF(I$8:I11,I11)-1,"")</f>
        <v>1</v>
      </c>
      <c r="X11">
        <f ca="1">IF($B11=1,RANK(J11,J$8:J$30,$B$1)+COUNTIF(J$8:J11,J11)-1,"")</f>
        <v>13</v>
      </c>
      <c r="Y11">
        <f ca="1">IF($B11=1,RANK(K11,K$8:K$30,$B$1)+COUNTIF(K$8:K11,K11)-1,"")</f>
        <v>14</v>
      </c>
      <c r="Z11">
        <f ca="1">IF($B11=1,RANK(L11,L$8:L$30,$B$1)+COUNTIF(L$8:L11,L11)-1,"")</f>
        <v>6</v>
      </c>
      <c r="AB11">
        <f t="shared" ca="1" si="55"/>
        <v>9</v>
      </c>
      <c r="AC11">
        <f t="shared" ca="1" si="21"/>
        <v>5</v>
      </c>
      <c r="AD11">
        <f t="shared" ca="1" si="21"/>
        <v>16</v>
      </c>
      <c r="AE11">
        <f t="shared" ca="1" si="21"/>
        <v>9</v>
      </c>
      <c r="AF11">
        <f t="shared" ca="1" si="21"/>
        <v>14</v>
      </c>
      <c r="AG11">
        <f t="shared" ca="1" si="21"/>
        <v>18</v>
      </c>
      <c r="AI11" t="str">
        <f t="shared" ca="1" si="56"/>
        <v>El Salvador</v>
      </c>
      <c r="AJ11" t="str">
        <f t="shared" ca="1" si="22"/>
        <v>Colombia</v>
      </c>
      <c r="AK11" t="str">
        <f t="shared" ca="1" si="22"/>
        <v>Panama</v>
      </c>
      <c r="AL11" t="str">
        <f t="shared" ca="1" si="22"/>
        <v>El Salvador</v>
      </c>
      <c r="AM11" t="str">
        <f t="shared" ca="1" si="22"/>
        <v>Mexico</v>
      </c>
      <c r="AN11" t="str">
        <f t="shared" ca="1" si="22"/>
        <v>Peru</v>
      </c>
      <c r="AP11">
        <f t="shared" ca="1" si="57"/>
        <v>59</v>
      </c>
      <c r="AQ11">
        <f t="shared" ca="1" si="58"/>
        <v>62.5</v>
      </c>
      <c r="AR11">
        <f t="shared" ca="1" si="59"/>
        <v>58.3</v>
      </c>
      <c r="AS11">
        <f t="shared" ca="1" si="60"/>
        <v>66.7</v>
      </c>
      <c r="AT11">
        <f t="shared" ca="1" si="61"/>
        <v>3</v>
      </c>
      <c r="AU11" s="203">
        <f t="shared" ca="1" si="62"/>
        <v>0.23519999999999999</v>
      </c>
      <c r="AV11" s="203"/>
      <c r="AW11" s="206">
        <f t="shared" ca="1" si="63"/>
        <v>4</v>
      </c>
      <c r="AX11" s="206">
        <f t="shared" ca="1" si="23"/>
        <v>4</v>
      </c>
      <c r="AY11" s="206">
        <f t="shared" ca="1" si="23"/>
        <v>3</v>
      </c>
      <c r="AZ11" s="206">
        <f t="shared" ca="1" si="23"/>
        <v>4</v>
      </c>
      <c r="BA11" s="206">
        <f t="shared" ca="1" si="23"/>
        <v>2</v>
      </c>
      <c r="BB11" s="206">
        <f t="shared" ca="1" si="23"/>
        <v>4</v>
      </c>
      <c r="BC11" s="206"/>
      <c r="BD11" s="186">
        <f t="shared" ca="1" si="97"/>
        <v>4</v>
      </c>
      <c r="BE11" s="186" t="str">
        <f t="shared" ca="1" si="98"/>
        <v>=4</v>
      </c>
      <c r="BF11" s="186" t="str">
        <f t="shared" ca="1" si="98"/>
        <v>=3</v>
      </c>
      <c r="BG11" s="186" t="str">
        <f t="shared" ca="1" si="98"/>
        <v>=4</v>
      </c>
      <c r="BH11" s="186" t="str">
        <f t="shared" ca="1" si="98"/>
        <v>=2</v>
      </c>
      <c r="BI11" s="186">
        <f t="shared" ca="1" si="98"/>
        <v>4</v>
      </c>
      <c r="BK11">
        <f ca="1">IF($B11=0,"",ROUND(OFFSET(uxb_scores_2007!$I$2,G$6,AB11),1))</f>
        <v>61.5</v>
      </c>
      <c r="BL11">
        <f ca="1">IF($B11=0,"",ROUND(OFFSET(uxb_scores_2007!$I$2,H$6,AC11),1))</f>
        <v>50</v>
      </c>
      <c r="BM11">
        <f ca="1">IF($B11=0,"",ROUND(OFFSET(uxb_scores_2007!$I$2,I$6,AD11),1))</f>
        <v>-1</v>
      </c>
      <c r="BN11">
        <f ca="1">IF($B11=0,"",ROUND(OFFSET(uxb_scores_2007!$I$2,J$6,AE11),1))</f>
        <v>66.7</v>
      </c>
      <c r="BO11">
        <f ca="1">IF($B11=0,"",ROUND(OFFSET(uxb_scores_2007!$I$2,K$6,AF11),1))</f>
        <v>2</v>
      </c>
      <c r="BP11" s="203">
        <f ca="1">IF($B11=0,"",ROUND(OFFSET(uxb_scores_2007!$I$2,L$6,AG11),4))</f>
        <v>0.23519999999999999</v>
      </c>
      <c r="BR11">
        <f t="shared" ca="1" si="64"/>
        <v>4</v>
      </c>
      <c r="BS11">
        <f t="shared" ca="1" si="65"/>
        <v>8</v>
      </c>
      <c r="BT11">
        <f t="shared" ca="1" si="66"/>
        <v>16</v>
      </c>
      <c r="BU11">
        <f t="shared" ca="1" si="67"/>
        <v>5</v>
      </c>
      <c r="BV11">
        <f t="shared" ca="1" si="68"/>
        <v>5</v>
      </c>
      <c r="BW11">
        <f t="shared" ca="1" si="69"/>
        <v>4</v>
      </c>
      <c r="BY11">
        <f t="shared" ca="1" si="26"/>
        <v>-2.5</v>
      </c>
      <c r="BZ11">
        <f t="shared" ca="1" si="27"/>
        <v>12.5</v>
      </c>
      <c r="CA11" t="str">
        <f t="shared" ca="1" si="28"/>
        <v>new</v>
      </c>
      <c r="CB11">
        <f t="shared" ca="1" si="29"/>
        <v>0</v>
      </c>
      <c r="CC11">
        <f t="shared" ca="1" si="30"/>
        <v>1</v>
      </c>
      <c r="CD11">
        <f t="shared" ca="1" si="31"/>
        <v>0</v>
      </c>
      <c r="CF11" s="206">
        <f t="shared" ca="1" si="70"/>
        <v>0</v>
      </c>
      <c r="CG11" s="206">
        <f t="shared" ca="1" si="71"/>
        <v>4</v>
      </c>
      <c r="CH11" s="206">
        <f t="shared" ca="1" si="72"/>
        <v>13</v>
      </c>
      <c r="CI11" s="206">
        <f t="shared" ca="1" si="73"/>
        <v>1</v>
      </c>
      <c r="CJ11" s="206">
        <f t="shared" ca="1" si="74"/>
        <v>3</v>
      </c>
      <c r="CK11" s="206">
        <f t="shared" ca="1" si="75"/>
        <v>0</v>
      </c>
      <c r="CM11" t="str">
        <f t="shared" ca="1" si="76"/>
        <v>-2.5</v>
      </c>
      <c r="CN11" t="str">
        <f t="shared" ca="1" si="33"/>
        <v>+12.5</v>
      </c>
      <c r="CO11" t="str">
        <f t="shared" ca="1" si="33"/>
        <v>new</v>
      </c>
      <c r="CP11" t="str">
        <f t="shared" ca="1" si="33"/>
        <v>-</v>
      </c>
      <c r="CQ11" t="str">
        <f t="shared" ca="1" si="33"/>
        <v>+1.0</v>
      </c>
      <c r="CR11" t="str">
        <f t="shared" ca="1" si="33"/>
        <v>-</v>
      </c>
      <c r="CT11">
        <f t="shared" ca="1" si="77"/>
        <v>-1</v>
      </c>
      <c r="CU11">
        <f t="shared" ca="1" si="34"/>
        <v>1</v>
      </c>
      <c r="CV11">
        <f t="shared" ca="1" si="34"/>
        <v>0</v>
      </c>
      <c r="CW11">
        <f t="shared" ca="1" si="34"/>
        <v>0</v>
      </c>
      <c r="CX11">
        <f t="shared" ca="1" si="34"/>
        <v>1</v>
      </c>
      <c r="CY11">
        <f t="shared" ca="1" si="34"/>
        <v>0</v>
      </c>
      <c r="DA11" t="str">
        <f t="shared" ca="1" si="78"/>
        <v>-</v>
      </c>
      <c r="DB11" t="str">
        <f t="shared" ca="1" si="79"/>
        <v>+4</v>
      </c>
      <c r="DC11" t="str">
        <f t="shared" ca="1" si="80"/>
        <v/>
      </c>
      <c r="DD11" t="str">
        <f t="shared" ca="1" si="81"/>
        <v>+1</v>
      </c>
      <c r="DE11" t="str">
        <f t="shared" ca="1" si="82"/>
        <v>+3</v>
      </c>
      <c r="DF11" t="str">
        <f t="shared" ca="1" si="83"/>
        <v>-</v>
      </c>
      <c r="DH11">
        <f t="shared" ca="1" si="84"/>
        <v>0</v>
      </c>
      <c r="DI11">
        <f t="shared" ca="1" si="85"/>
        <v>1</v>
      </c>
      <c r="DJ11">
        <f t="shared" ca="1" si="86"/>
        <v>0</v>
      </c>
      <c r="DK11">
        <f t="shared" ca="1" si="87"/>
        <v>1</v>
      </c>
      <c r="DL11">
        <f t="shared" ca="1" si="88"/>
        <v>1</v>
      </c>
      <c r="DM11">
        <f t="shared" ca="1" si="89"/>
        <v>0</v>
      </c>
      <c r="DO11">
        <f ca="1">RANK(BY11,BY$8:BY$27)+COUNTIF(BY11:BY$27,BY11)-1</f>
        <v>10</v>
      </c>
      <c r="DP11">
        <f ca="1">RANK(BZ11,BZ$8:BZ$27)+COUNTIF(BZ11:BZ$27,BZ11)-1</f>
        <v>1</v>
      </c>
      <c r="DQ11" t="e">
        <f ca="1">RANK(CA11,CA$8:CA$27)+COUNTIF(CA11:CA$27,CA11)-1</f>
        <v>#VALUE!</v>
      </c>
      <c r="DR11">
        <f ca="1">RANK(CB11,CB$8:CB$27)+COUNTIF(CB11:CB$27,CB11)-1</f>
        <v>9</v>
      </c>
      <c r="DS11">
        <f ca="1">RANK(CC11,CC$8:CC$27)+COUNTIF(CC11:CC$27,CC11)-1</f>
        <v>2</v>
      </c>
      <c r="DT11">
        <f ca="1">RANK(CD11,CD$8:CD$27)+COUNTIF(CD11:CD$27,CD11)-1</f>
        <v>17</v>
      </c>
      <c r="DV11">
        <f t="shared" ca="1" si="90"/>
        <v>1</v>
      </c>
      <c r="DW11">
        <f t="shared" ca="1" si="37"/>
        <v>20</v>
      </c>
      <c r="DX11">
        <f t="shared" ca="1" si="37"/>
        <v>16</v>
      </c>
      <c r="DY11">
        <f t="shared" ca="1" si="37"/>
        <v>11</v>
      </c>
      <c r="DZ11">
        <f t="shared" ca="1" si="37"/>
        <v>20</v>
      </c>
      <c r="EA11">
        <f t="shared" ca="1" si="37"/>
        <v>17</v>
      </c>
      <c r="EC11" t="str">
        <f t="shared" ca="1" si="38"/>
        <v>Peru</v>
      </c>
      <c r="ED11" t="str">
        <f t="shared" ca="1" si="39"/>
        <v>Argentina</v>
      </c>
      <c r="EE11" t="str">
        <f t="shared" ca="1" si="40"/>
        <v>Paraguay</v>
      </c>
      <c r="EF11" t="str">
        <f t="shared" ca="1" si="41"/>
        <v>Argentina</v>
      </c>
      <c r="EG11" t="str">
        <f t="shared" ca="1" si="42"/>
        <v>Venezuela</v>
      </c>
      <c r="EH11" t="str">
        <f t="shared" ca="1" si="43"/>
        <v>Haiti</v>
      </c>
      <c r="EJ11">
        <f t="shared" ca="1" si="44"/>
        <v>76.599999999999994</v>
      </c>
      <c r="EK11">
        <f t="shared" ca="1" si="45"/>
        <v>18.8</v>
      </c>
      <c r="EL11">
        <f t="shared" ca="1" si="46"/>
        <v>39.700000000000003</v>
      </c>
      <c r="EM11">
        <f t="shared" ca="1" si="47"/>
        <v>33.299999999999997</v>
      </c>
      <c r="EN11">
        <f t="shared" ca="1" si="48"/>
        <v>1</v>
      </c>
      <c r="EO11">
        <f t="shared" ca="1" si="49"/>
        <v>0</v>
      </c>
      <c r="EQ11">
        <f t="shared" ca="1" si="91"/>
        <v>74.099999999999994</v>
      </c>
      <c r="ER11">
        <f t="shared" ca="1" si="50"/>
        <v>18.8</v>
      </c>
      <c r="ES11">
        <f t="shared" ca="1" si="50"/>
        <v>39.6</v>
      </c>
      <c r="ET11">
        <f t="shared" ca="1" si="50"/>
        <v>25</v>
      </c>
      <c r="EU11">
        <f t="shared" ca="1" si="50"/>
        <v>1</v>
      </c>
      <c r="EV11">
        <f t="shared" ca="1" si="50"/>
        <v>0</v>
      </c>
      <c r="EX11" t="str">
        <f t="shared" ca="1" si="92"/>
        <v>+2.5</v>
      </c>
      <c r="EY11" t="str">
        <f t="shared" ca="1" si="51"/>
        <v>-</v>
      </c>
      <c r="EZ11" t="str">
        <f t="shared" ca="1" si="51"/>
        <v>+0.1</v>
      </c>
      <c r="FA11" t="str">
        <f t="shared" ca="1" si="51"/>
        <v>+8.3</v>
      </c>
      <c r="FB11" t="str">
        <f t="shared" ca="1" si="51"/>
        <v>-</v>
      </c>
      <c r="FE11">
        <f t="shared" ca="1" si="93"/>
        <v>1</v>
      </c>
      <c r="FF11">
        <f t="shared" ca="1" si="52"/>
        <v>0</v>
      </c>
      <c r="FG11">
        <f t="shared" ca="1" si="52"/>
        <v>1</v>
      </c>
      <c r="FH11">
        <f t="shared" ca="1" si="52"/>
        <v>1</v>
      </c>
      <c r="FI11">
        <f t="shared" ca="1" si="52"/>
        <v>0</v>
      </c>
      <c r="FJ11">
        <f t="shared" ca="1" si="52"/>
        <v>0</v>
      </c>
      <c r="FL11" t="str">
        <f t="shared" ca="1" si="94"/>
        <v>+1</v>
      </c>
      <c r="FM11" t="str">
        <f t="shared" ca="1" si="53"/>
        <v>-5</v>
      </c>
      <c r="FN11" t="str">
        <f t="shared" ca="1" si="53"/>
        <v>-2</v>
      </c>
      <c r="FO11" t="str">
        <f t="shared" ca="1" si="53"/>
        <v>+2</v>
      </c>
      <c r="FP11" t="str">
        <f t="shared" ca="1" si="53"/>
        <v>-3</v>
      </c>
      <c r="FQ11" t="str">
        <f t="shared" ca="1" si="53"/>
        <v>-</v>
      </c>
      <c r="FS11">
        <f t="shared" ca="1" si="95"/>
        <v>1</v>
      </c>
      <c r="FT11">
        <f t="shared" ca="1" si="54"/>
        <v>-1</v>
      </c>
      <c r="FU11">
        <f t="shared" ca="1" si="54"/>
        <v>-1</v>
      </c>
      <c r="FV11">
        <f t="shared" ca="1" si="54"/>
        <v>1</v>
      </c>
      <c r="FW11">
        <f t="shared" ca="1" si="54"/>
        <v>-1</v>
      </c>
      <c r="FX11">
        <f t="shared" ca="1" si="54"/>
        <v>0</v>
      </c>
      <c r="FZ11">
        <f t="shared" ca="1" si="96"/>
        <v>3</v>
      </c>
    </row>
    <row r="12" spans="1:182">
      <c r="A12">
        <v>5</v>
      </c>
      <c r="B12">
        <f ca="1">uxb_countries!D7</f>
        <v>1</v>
      </c>
      <c r="C12" t="str">
        <f ca="1">uxb_countries!B7</f>
        <v>Colombia</v>
      </c>
      <c r="D12" t="str">
        <f ca="1">uxb_countries!A7</f>
        <v>CO</v>
      </c>
      <c r="E12" s="4">
        <f ca="1">MATCH(D12,uxb_scores_2007!$J$2:$AC$2,0)</f>
        <v>5</v>
      </c>
      <c r="G12" s="3">
        <f ca="1">IF($B12=0,"",ROUND(OFFSET(uxb_scores_2008!$I$2,G$6,$E12),2))</f>
        <v>58.61</v>
      </c>
      <c r="H12" s="3">
        <f ca="1">IF($B12=0,"",ROUND(OFFSET(uxb_scores_2008!$I$2,H$6,$E12),2))</f>
        <v>62.5</v>
      </c>
      <c r="I12" s="3">
        <f ca="1">IF($B12=0,"",ROUND(OFFSET(uxb_scores_2008!$I$2,I$6,$E12),2))</f>
        <v>51.39</v>
      </c>
      <c r="J12" s="3">
        <f ca="1">IF($B12=0,"",ROUND(OFFSET(uxb_scores_2008!$I$2,J$6,$E12),2))</f>
        <v>58.33</v>
      </c>
      <c r="K12" s="3">
        <f ca="1">IF($B12=0,"",ROUND(OFFSET(uxb_scores_2008!$I$2,K$6,$E12),2))</f>
        <v>2</v>
      </c>
      <c r="L12">
        <f ca="1">IF($B12=0,"",ROUND(OFFSET(uxb_scores_2008!$I$2,L$6,$E12),4))</f>
        <v>7.17E-2</v>
      </c>
      <c r="U12">
        <f ca="1">IF($B12=1,RANK(G12,G$8:G$30,$B$1)+COUNTIF(G$8:G12,G12)-1,"")</f>
        <v>5</v>
      </c>
      <c r="V12">
        <f ca="1">IF($B12=1,RANK(H12,H$8:H$30,$B$1)+COUNTIF(H$8:H12,H12)-1,"")</f>
        <v>4</v>
      </c>
      <c r="W12">
        <f ca="1">IF($B12=1,RANK(I12,I$8:I$30,$B$1)+COUNTIF(I$8:I12,I12)-1,"")</f>
        <v>8</v>
      </c>
      <c r="X12">
        <f ca="1">IF($B12=1,RANK(J12,J$8:J$30,$B$1)+COUNTIF(J$8:J12,J12)-1,"")</f>
        <v>6</v>
      </c>
      <c r="Y12">
        <f ca="1">IF($B12=1,RANK(K12,K$8:K$30,$B$1)+COUNTIF(K$8:K12,K12)-1,"")</f>
        <v>6</v>
      </c>
      <c r="Z12">
        <f ca="1">IF($B12=1,RANK(L12,L$8:L$30,$B$1)+COUNTIF(L$8:L12,L12)-1,"")</f>
        <v>10</v>
      </c>
      <c r="AB12">
        <f t="shared" ca="1" si="55"/>
        <v>5</v>
      </c>
      <c r="AC12">
        <f t="shared" ca="1" si="21"/>
        <v>17</v>
      </c>
      <c r="AD12">
        <f t="shared" ca="1" si="21"/>
        <v>18</v>
      </c>
      <c r="AE12">
        <f t="shared" ca="1" si="21"/>
        <v>15</v>
      </c>
      <c r="AF12">
        <f t="shared" ca="1" si="21"/>
        <v>3</v>
      </c>
      <c r="AG12">
        <f t="shared" ca="1" si="21"/>
        <v>10</v>
      </c>
      <c r="AI12" t="str">
        <f t="shared" ca="1" si="56"/>
        <v>Colombia</v>
      </c>
      <c r="AJ12" t="str">
        <f t="shared" ca="1" si="22"/>
        <v>Paraguay</v>
      </c>
      <c r="AK12" t="str">
        <f t="shared" ca="1" si="22"/>
        <v>Peru</v>
      </c>
      <c r="AL12" t="str">
        <f t="shared" ca="1" si="22"/>
        <v>Nicaragua</v>
      </c>
      <c r="AM12" t="str">
        <f t="shared" ca="1" si="22"/>
        <v>Brazil</v>
      </c>
      <c r="AN12" t="str">
        <f t="shared" ca="1" si="22"/>
        <v>Guatemala</v>
      </c>
      <c r="AP12">
        <f t="shared" ca="1" si="57"/>
        <v>58.6</v>
      </c>
      <c r="AQ12">
        <f t="shared" ca="1" si="58"/>
        <v>62.5</v>
      </c>
      <c r="AR12">
        <f t="shared" ca="1" si="59"/>
        <v>58</v>
      </c>
      <c r="AS12">
        <f t="shared" ca="1" si="60"/>
        <v>66.7</v>
      </c>
      <c r="AT12">
        <f t="shared" ca="1" si="61"/>
        <v>2</v>
      </c>
      <c r="AU12" s="203">
        <f t="shared" ca="1" si="62"/>
        <v>0.22700000000000001</v>
      </c>
      <c r="AV12" s="203"/>
      <c r="AW12" s="206">
        <f t="shared" ca="1" si="63"/>
        <v>5</v>
      </c>
      <c r="AX12" s="206">
        <f t="shared" ca="1" si="23"/>
        <v>4</v>
      </c>
      <c r="AY12" s="206">
        <f t="shared" ca="1" si="23"/>
        <v>5</v>
      </c>
      <c r="AZ12" s="206">
        <f t="shared" ca="1" si="23"/>
        <v>4</v>
      </c>
      <c r="BA12" s="206">
        <f t="shared" ca="1" si="23"/>
        <v>5</v>
      </c>
      <c r="BB12" s="206">
        <f t="shared" ca="1" si="23"/>
        <v>5</v>
      </c>
      <c r="BC12" s="206"/>
      <c r="BD12" s="186">
        <f t="shared" ca="1" si="97"/>
        <v>5</v>
      </c>
      <c r="BE12" s="186" t="str">
        <f t="shared" ca="1" si="98"/>
        <v>=4</v>
      </c>
      <c r="BF12" s="186">
        <f t="shared" ca="1" si="98"/>
        <v>5</v>
      </c>
      <c r="BG12" s="186" t="str">
        <f t="shared" ca="1" si="98"/>
        <v>=4</v>
      </c>
      <c r="BH12" s="186" t="str">
        <f t="shared" ca="1" si="98"/>
        <v>=5</v>
      </c>
      <c r="BI12" s="186">
        <f t="shared" ca="1" si="98"/>
        <v>5</v>
      </c>
      <c r="BK12">
        <f ca="1">IF($B12=0,"",ROUND(OFFSET(uxb_scores_2007!$I$2,G$6,AB12),1))</f>
        <v>46.1</v>
      </c>
      <c r="BL12">
        <f ca="1">IF($B12=0,"",ROUND(OFFSET(uxb_scores_2007!$I$2,H$6,AC12),1))</f>
        <v>62.5</v>
      </c>
      <c r="BM12">
        <f ca="1">IF($B12=0,"",ROUND(OFFSET(uxb_scores_2007!$I$2,I$6,AD12),1))</f>
        <v>57.9</v>
      </c>
      <c r="BN12">
        <f ca="1">IF($B12=0,"",ROUND(OFFSET(uxb_scores_2007!$I$2,J$6,AE12),1))</f>
        <v>58.3</v>
      </c>
      <c r="BO12">
        <f ca="1">IF($B12=0,"",ROUND(OFFSET(uxb_scores_2007!$I$2,K$6,AF12),1))</f>
        <v>2</v>
      </c>
      <c r="BP12" s="203">
        <f ca="1">IF($B12=0,"",ROUND(OFFSET(uxb_scores_2007!$I$2,L$6,AG12),4))</f>
        <v>0.22700000000000001</v>
      </c>
      <c r="BR12">
        <f t="shared" ca="1" si="64"/>
        <v>10</v>
      </c>
      <c r="BS12">
        <f t="shared" ca="1" si="65"/>
        <v>4</v>
      </c>
      <c r="BT12">
        <f t="shared" ca="1" si="66"/>
        <v>4</v>
      </c>
      <c r="BU12">
        <f t="shared" ca="1" si="67"/>
        <v>6</v>
      </c>
      <c r="BV12">
        <f t="shared" ca="1" si="68"/>
        <v>5</v>
      </c>
      <c r="BW12">
        <f t="shared" ca="1" si="69"/>
        <v>5</v>
      </c>
      <c r="BY12">
        <f t="shared" ca="1" si="26"/>
        <v>12.5</v>
      </c>
      <c r="BZ12">
        <f t="shared" ca="1" si="27"/>
        <v>0</v>
      </c>
      <c r="CA12">
        <f t="shared" ca="1" si="28"/>
        <v>0.1</v>
      </c>
      <c r="CB12">
        <f t="shared" ca="1" si="29"/>
        <v>8.4</v>
      </c>
      <c r="CC12">
        <f t="shared" ca="1" si="30"/>
        <v>0</v>
      </c>
      <c r="CD12">
        <f t="shared" ca="1" si="31"/>
        <v>0</v>
      </c>
      <c r="CF12" s="206">
        <f t="shared" ca="1" si="70"/>
        <v>5</v>
      </c>
      <c r="CG12" s="206">
        <f t="shared" ca="1" si="71"/>
        <v>0</v>
      </c>
      <c r="CH12" s="206">
        <f t="shared" ca="1" si="72"/>
        <v>-1</v>
      </c>
      <c r="CI12" s="206">
        <f t="shared" ca="1" si="73"/>
        <v>2</v>
      </c>
      <c r="CJ12" s="206">
        <f t="shared" ca="1" si="74"/>
        <v>0</v>
      </c>
      <c r="CK12" s="206">
        <f t="shared" ca="1" si="75"/>
        <v>0</v>
      </c>
      <c r="CM12" t="str">
        <f t="shared" ca="1" si="76"/>
        <v>+12.5</v>
      </c>
      <c r="CN12" t="str">
        <f t="shared" ca="1" si="33"/>
        <v>-</v>
      </c>
      <c r="CO12" t="str">
        <f t="shared" ca="1" si="33"/>
        <v>+0.1</v>
      </c>
      <c r="CP12" t="str">
        <f t="shared" ca="1" si="33"/>
        <v>+8.4</v>
      </c>
      <c r="CQ12" t="str">
        <f t="shared" ca="1" si="33"/>
        <v>-</v>
      </c>
      <c r="CR12" t="str">
        <f t="shared" ca="1" si="33"/>
        <v>-</v>
      </c>
      <c r="CT12">
        <f t="shared" ca="1" si="77"/>
        <v>1</v>
      </c>
      <c r="CU12">
        <f t="shared" ca="1" si="34"/>
        <v>0</v>
      </c>
      <c r="CV12">
        <f t="shared" ca="1" si="34"/>
        <v>1</v>
      </c>
      <c r="CW12">
        <f t="shared" ca="1" si="34"/>
        <v>1</v>
      </c>
      <c r="CX12">
        <f t="shared" ca="1" si="34"/>
        <v>0</v>
      </c>
      <c r="CY12">
        <f t="shared" ca="1" si="34"/>
        <v>0</v>
      </c>
      <c r="DA12" t="str">
        <f t="shared" ca="1" si="78"/>
        <v>+5</v>
      </c>
      <c r="DB12" t="str">
        <f t="shared" ca="1" si="79"/>
        <v>-</v>
      </c>
      <c r="DC12" t="str">
        <f t="shared" ca="1" si="80"/>
        <v>-1</v>
      </c>
      <c r="DD12" t="str">
        <f t="shared" ca="1" si="81"/>
        <v>+2</v>
      </c>
      <c r="DE12" t="str">
        <f t="shared" ca="1" si="82"/>
        <v>-</v>
      </c>
      <c r="DF12" t="str">
        <f t="shared" ca="1" si="83"/>
        <v>-</v>
      </c>
      <c r="DH12">
        <f t="shared" ca="1" si="84"/>
        <v>1</v>
      </c>
      <c r="DI12">
        <f t="shared" ca="1" si="85"/>
        <v>0</v>
      </c>
      <c r="DJ12">
        <f t="shared" ca="1" si="86"/>
        <v>-1</v>
      </c>
      <c r="DK12">
        <f t="shared" ca="1" si="87"/>
        <v>1</v>
      </c>
      <c r="DL12">
        <f t="shared" ca="1" si="88"/>
        <v>0</v>
      </c>
      <c r="DM12">
        <f t="shared" ca="1" si="89"/>
        <v>0</v>
      </c>
      <c r="DO12">
        <f ca="1">RANK(BY12,BY$8:BY$27)+COUNTIF(BY12:BY$27,BY12)-1</f>
        <v>1</v>
      </c>
      <c r="DP12">
        <f ca="1">RANK(BZ12,BZ$8:BZ$27)+COUNTIF(BZ12:BZ$27,BZ12)-1</f>
        <v>9</v>
      </c>
      <c r="DQ12">
        <f ca="1">RANK(CA12,CA$8:CA$27)+COUNTIF(CA12:CA$27,CA12)-1</f>
        <v>6</v>
      </c>
      <c r="DR12">
        <f ca="1">RANK(CB12,CB$8:CB$27)+COUNTIF(CB12:CB$27,CB12)-1</f>
        <v>3</v>
      </c>
      <c r="DS12">
        <f ca="1">RANK(CC12,CC$8:CC$27)+COUNTIF(CC12:CC$27,CC12)-1</f>
        <v>12</v>
      </c>
      <c r="DT12">
        <f ca="1">RANK(CD12,CD$8:CD$27)+COUNTIF(CD12:CD$27,CD12)-1</f>
        <v>16</v>
      </c>
      <c r="DV12">
        <f t="shared" ca="1" si="90"/>
        <v>17</v>
      </c>
      <c r="DW12">
        <f t="shared" ca="1" si="37"/>
        <v>13</v>
      </c>
      <c r="DX12">
        <f t="shared" ca="1" si="37"/>
        <v>13</v>
      </c>
      <c r="DY12">
        <f t="shared" ca="1" si="37"/>
        <v>1</v>
      </c>
      <c r="DZ12">
        <f t="shared" ca="1" si="37"/>
        <v>19</v>
      </c>
      <c r="EA12">
        <f t="shared" ca="1" si="37"/>
        <v>16</v>
      </c>
      <c r="EC12" t="str">
        <f t="shared" ca="1" si="38"/>
        <v>Argentina</v>
      </c>
      <c r="ED12" t="str">
        <f t="shared" ca="1" si="39"/>
        <v>Brazil</v>
      </c>
      <c r="EE12" t="str">
        <f t="shared" ca="1" si="40"/>
        <v>Venezuela</v>
      </c>
      <c r="EF12" t="str">
        <f t="shared" ca="1" si="41"/>
        <v>Ecuador</v>
      </c>
      <c r="EG12" t="str">
        <f t="shared" ca="1" si="42"/>
        <v>Uruguay</v>
      </c>
      <c r="EH12" t="str">
        <f t="shared" ca="1" si="43"/>
        <v>Costa Rica</v>
      </c>
      <c r="EJ12">
        <f t="shared" ca="1" si="44"/>
        <v>28.5</v>
      </c>
      <c r="EK12">
        <f t="shared" ca="1" si="45"/>
        <v>43.8</v>
      </c>
      <c r="EL12">
        <f t="shared" ca="1" si="46"/>
        <v>41.4</v>
      </c>
      <c r="EM12">
        <f t="shared" ca="1" si="47"/>
        <v>83.3</v>
      </c>
      <c r="EN12">
        <f t="shared" ca="1" si="48"/>
        <v>1</v>
      </c>
      <c r="EO12">
        <f t="shared" ca="1" si="49"/>
        <v>0</v>
      </c>
      <c r="EQ12">
        <f t="shared" ca="1" si="91"/>
        <v>26.8</v>
      </c>
      <c r="ER12">
        <f t="shared" ca="1" si="50"/>
        <v>43.8</v>
      </c>
      <c r="ES12">
        <f t="shared" ca="1" si="50"/>
        <v>41.3</v>
      </c>
      <c r="ET12">
        <f t="shared" ca="1" si="50"/>
        <v>75</v>
      </c>
      <c r="EU12">
        <f t="shared" ca="1" si="50"/>
        <v>1</v>
      </c>
      <c r="EV12">
        <f t="shared" ca="1" si="50"/>
        <v>0</v>
      </c>
      <c r="EX12" t="str">
        <f t="shared" ca="1" si="92"/>
        <v>+1.7</v>
      </c>
      <c r="EY12" t="str">
        <f t="shared" ca="1" si="51"/>
        <v>-</v>
      </c>
      <c r="EZ12" t="str">
        <f t="shared" ca="1" si="51"/>
        <v>+0.1</v>
      </c>
      <c r="FA12" t="str">
        <f t="shared" ca="1" si="51"/>
        <v>+8.3</v>
      </c>
      <c r="FB12" t="str">
        <f t="shared" ca="1" si="51"/>
        <v>-</v>
      </c>
      <c r="FE12">
        <f t="shared" ca="1" si="93"/>
        <v>1</v>
      </c>
      <c r="FF12">
        <f t="shared" ca="1" si="52"/>
        <v>0</v>
      </c>
      <c r="FG12">
        <f t="shared" ca="1" si="52"/>
        <v>1</v>
      </c>
      <c r="FH12">
        <f t="shared" ca="1" si="52"/>
        <v>1</v>
      </c>
      <c r="FI12">
        <f t="shared" ca="1" si="52"/>
        <v>0</v>
      </c>
      <c r="FJ12">
        <f t="shared" ca="1" si="52"/>
        <v>0</v>
      </c>
      <c r="FL12" t="str">
        <f t="shared" ca="1" si="94"/>
        <v>-2</v>
      </c>
      <c r="FM12" t="str">
        <f t="shared" ca="1" si="53"/>
        <v>-1</v>
      </c>
      <c r="FN12" t="str">
        <f t="shared" ca="1" si="53"/>
        <v>-3</v>
      </c>
      <c r="FO12" t="str">
        <f t="shared" ca="1" si="53"/>
        <v>-</v>
      </c>
      <c r="FP12" t="str">
        <f t="shared" ca="1" si="53"/>
        <v>-3</v>
      </c>
      <c r="FQ12" t="str">
        <f t="shared" ca="1" si="53"/>
        <v>-</v>
      </c>
      <c r="FS12">
        <f t="shared" ca="1" si="95"/>
        <v>-1</v>
      </c>
      <c r="FT12">
        <f t="shared" ca="1" si="54"/>
        <v>-1</v>
      </c>
      <c r="FU12">
        <f t="shared" ca="1" si="54"/>
        <v>-1</v>
      </c>
      <c r="FV12">
        <f t="shared" ca="1" si="54"/>
        <v>0</v>
      </c>
      <c r="FW12">
        <f t="shared" ca="1" si="54"/>
        <v>-1</v>
      </c>
      <c r="FX12">
        <f t="shared" ca="1" si="54"/>
        <v>0</v>
      </c>
      <c r="FZ12">
        <f t="shared" ca="1" si="96"/>
        <v>-3</v>
      </c>
    </row>
    <row r="13" spans="1:182">
      <c r="A13">
        <v>6</v>
      </c>
      <c r="B13">
        <f ca="1">uxb_countries!D8</f>
        <v>1</v>
      </c>
      <c r="C13" t="str">
        <f ca="1">uxb_countries!B8</f>
        <v>Costa Rica</v>
      </c>
      <c r="D13" t="str">
        <f ca="1">uxb_countries!A8</f>
        <v>CR</v>
      </c>
      <c r="E13" s="4">
        <f ca="1">MATCH(D13,uxb_scores_2007!$J$2:$AC$2,0)</f>
        <v>6</v>
      </c>
      <c r="G13" s="3">
        <f ca="1">IF($B13=0,"",ROUND(OFFSET(uxb_scores_2008!$I$2,G$6,$E13),2))</f>
        <v>40.28</v>
      </c>
      <c r="H13" s="3">
        <f ca="1">IF($B13=0,"",ROUND(OFFSET(uxb_scores_2008!$I$2,H$6,$E13),2))</f>
        <v>37.5</v>
      </c>
      <c r="I13" s="3">
        <f ca="1">IF($B13=0,"",ROUND(OFFSET(uxb_scores_2008!$I$2,I$6,$E13),2))</f>
        <v>59.71</v>
      </c>
      <c r="J13" s="3">
        <f ca="1">IF($B13=0,"",ROUND(OFFSET(uxb_scores_2008!$I$2,J$6,$E13),2))</f>
        <v>33.33</v>
      </c>
      <c r="K13" s="3">
        <f ca="1">IF($B13=0,"",ROUND(OFFSET(uxb_scores_2008!$I$2,K$6,$E13),2))</f>
        <v>1</v>
      </c>
      <c r="L13">
        <f ca="1">IF($B13=0,"",ROUND(OFFSET(uxb_scores_2008!$I$2,L$6,$E13),4))</f>
        <v>0</v>
      </c>
      <c r="U13">
        <f ca="1">IF($B13=1,RANK(G13,G$8:G$30,$B$1)+COUNTIF(G$8:G13,G13)-1,"")</f>
        <v>15</v>
      </c>
      <c r="V13">
        <f ca="1">IF($B13=1,RANK(H13,H$8:H$30,$B$1)+COUNTIF(H$8:H13,H13)-1,"")</f>
        <v>16</v>
      </c>
      <c r="W13">
        <f ca="1">IF($B13=1,RANK(I13,I$8:I$30,$B$1)+COUNTIF(I$8:I13,I13)-1,"")</f>
        <v>2</v>
      </c>
      <c r="X13">
        <f ca="1">IF($B13=1,RANK(J13,J$8:J$30,$B$1)+COUNTIF(J$8:J13,J13)-1,"")</f>
        <v>14</v>
      </c>
      <c r="Y13">
        <f ca="1">IF($B13=1,RANK(K13,K$8:K$30,$B$1)+COUNTIF(K$8:K13,K13)-1,"")</f>
        <v>15</v>
      </c>
      <c r="Z13">
        <f ca="1">IF($B13=1,RANK(L13,L$8:L$30,$B$1)+COUNTIF(L$8:L13,L13)-1,"")</f>
        <v>16</v>
      </c>
      <c r="AB13">
        <f t="shared" ca="1" si="55"/>
        <v>15</v>
      </c>
      <c r="AC13">
        <f t="shared" ca="1" si="21"/>
        <v>9</v>
      </c>
      <c r="AD13">
        <f t="shared" ca="1" si="21"/>
        <v>13</v>
      </c>
      <c r="AE13">
        <f t="shared" ca="1" si="21"/>
        <v>5</v>
      </c>
      <c r="AF13">
        <f t="shared" ca="1" si="21"/>
        <v>5</v>
      </c>
      <c r="AG13">
        <f t="shared" ca="1" si="21"/>
        <v>4</v>
      </c>
      <c r="AI13" t="str">
        <f t="shared" ca="1" si="56"/>
        <v>Nicaragua</v>
      </c>
      <c r="AJ13" t="str">
        <f t="shared" ca="1" si="22"/>
        <v>El Salvador</v>
      </c>
      <c r="AK13" t="str">
        <f t="shared" ca="1" si="22"/>
        <v>Jamaica</v>
      </c>
      <c r="AL13" t="str">
        <f t="shared" ca="1" si="22"/>
        <v>Colombia</v>
      </c>
      <c r="AM13" t="str">
        <f t="shared" ca="1" si="22"/>
        <v>Colombia</v>
      </c>
      <c r="AN13" t="str">
        <f t="shared" ca="1" si="22"/>
        <v>Chile</v>
      </c>
      <c r="AP13">
        <f t="shared" ca="1" si="57"/>
        <v>58</v>
      </c>
      <c r="AQ13">
        <f t="shared" ca="1" si="58"/>
        <v>56.3</v>
      </c>
      <c r="AR13">
        <f t="shared" ca="1" si="59"/>
        <v>55.8</v>
      </c>
      <c r="AS13">
        <f t="shared" ca="1" si="60"/>
        <v>58.3</v>
      </c>
      <c r="AT13">
        <f t="shared" ca="1" si="61"/>
        <v>2</v>
      </c>
      <c r="AU13" s="203">
        <f t="shared" ca="1" si="62"/>
        <v>0.19900000000000001</v>
      </c>
      <c r="AV13" s="203"/>
      <c r="AW13" s="206">
        <f t="shared" ca="1" si="63"/>
        <v>6</v>
      </c>
      <c r="AX13" s="206">
        <f t="shared" ca="1" si="23"/>
        <v>6</v>
      </c>
      <c r="AY13" s="206">
        <f t="shared" ca="1" si="23"/>
        <v>6</v>
      </c>
      <c r="AZ13" s="206">
        <f t="shared" ca="1" si="23"/>
        <v>6</v>
      </c>
      <c r="BA13" s="206">
        <f t="shared" ca="1" si="23"/>
        <v>5</v>
      </c>
      <c r="BB13" s="206">
        <f t="shared" ca="1" si="23"/>
        <v>6</v>
      </c>
      <c r="BC13" s="206"/>
      <c r="BD13" s="186">
        <f t="shared" ca="1" si="97"/>
        <v>6</v>
      </c>
      <c r="BE13" s="186" t="str">
        <f t="shared" ca="1" si="98"/>
        <v>=6</v>
      </c>
      <c r="BF13" s="186">
        <f t="shared" ca="1" si="98"/>
        <v>6</v>
      </c>
      <c r="BG13" s="186" t="str">
        <f t="shared" ca="1" si="98"/>
        <v>=6</v>
      </c>
      <c r="BH13" s="186" t="str">
        <f t="shared" ca="1" si="98"/>
        <v>=5</v>
      </c>
      <c r="BI13" s="186">
        <f t="shared" ca="1" si="98"/>
        <v>6</v>
      </c>
      <c r="BK13">
        <f ca="1">IF($B13=0,"",ROUND(OFFSET(uxb_scores_2007!$I$2,G$6,AB13),1))</f>
        <v>53.8</v>
      </c>
      <c r="BL13">
        <f ca="1">IF($B13=0,"",ROUND(OFFSET(uxb_scores_2007!$I$2,H$6,AC13),1))</f>
        <v>62.5</v>
      </c>
      <c r="BM13">
        <f ca="1">IF($B13=0,"",ROUND(OFFSET(uxb_scores_2007!$I$2,I$6,AD13),1))</f>
        <v>-1</v>
      </c>
      <c r="BN13">
        <f ca="1">IF($B13=0,"",ROUND(OFFSET(uxb_scores_2007!$I$2,J$6,AE13),1))</f>
        <v>41.7</v>
      </c>
      <c r="BO13">
        <f ca="1">IF($B13=0,"",ROUND(OFFSET(uxb_scores_2007!$I$2,K$6,AF13),1))</f>
        <v>1</v>
      </c>
      <c r="BP13" s="203">
        <f ca="1">IF($B13=0,"",ROUND(OFFSET(uxb_scores_2007!$I$2,L$6,AG13),4))</f>
        <v>0.19900000000000001</v>
      </c>
      <c r="BR13">
        <f t="shared" ca="1" si="64"/>
        <v>6</v>
      </c>
      <c r="BS13">
        <f t="shared" ca="1" si="65"/>
        <v>4</v>
      </c>
      <c r="BT13">
        <f t="shared" ca="1" si="66"/>
        <v>16</v>
      </c>
      <c r="BU13">
        <f t="shared" ca="1" si="67"/>
        <v>8</v>
      </c>
      <c r="BV13">
        <f t="shared" ca="1" si="68"/>
        <v>10</v>
      </c>
      <c r="BW13">
        <f t="shared" ca="1" si="69"/>
        <v>6</v>
      </c>
      <c r="BY13">
        <f t="shared" ca="1" si="26"/>
        <v>4.2</v>
      </c>
      <c r="BZ13">
        <f t="shared" ca="1" si="27"/>
        <v>-6.2</v>
      </c>
      <c r="CA13" t="str">
        <f t="shared" ca="1" si="28"/>
        <v>new</v>
      </c>
      <c r="CB13">
        <f t="shared" ca="1" si="29"/>
        <v>16.600000000000001</v>
      </c>
      <c r="CC13">
        <f t="shared" ca="1" si="30"/>
        <v>1</v>
      </c>
      <c r="CD13">
        <f t="shared" ca="1" si="31"/>
        <v>0</v>
      </c>
      <c r="CF13" s="206">
        <f t="shared" ca="1" si="70"/>
        <v>0</v>
      </c>
      <c r="CG13" s="206">
        <f t="shared" ca="1" si="71"/>
        <v>-2</v>
      </c>
      <c r="CH13" s="206">
        <f t="shared" ca="1" si="72"/>
        <v>10</v>
      </c>
      <c r="CI13" s="206">
        <f t="shared" ca="1" si="73"/>
        <v>2</v>
      </c>
      <c r="CJ13" s="206">
        <f t="shared" ca="1" si="74"/>
        <v>5</v>
      </c>
      <c r="CK13" s="206">
        <f t="shared" ca="1" si="75"/>
        <v>0</v>
      </c>
      <c r="CM13" t="str">
        <f t="shared" ca="1" si="76"/>
        <v>+4.2</v>
      </c>
      <c r="CN13" t="str">
        <f t="shared" ca="1" si="33"/>
        <v>-6.2</v>
      </c>
      <c r="CO13" t="str">
        <f t="shared" ca="1" si="33"/>
        <v>new</v>
      </c>
      <c r="CP13" t="str">
        <f t="shared" ca="1" si="33"/>
        <v>+16.6</v>
      </c>
      <c r="CQ13" t="str">
        <f t="shared" ca="1" si="33"/>
        <v>+1.0</v>
      </c>
      <c r="CR13" t="str">
        <f t="shared" ca="1" si="33"/>
        <v>-</v>
      </c>
      <c r="CT13">
        <f t="shared" ca="1" si="77"/>
        <v>1</v>
      </c>
      <c r="CU13">
        <f t="shared" ca="1" si="34"/>
        <v>-1</v>
      </c>
      <c r="CV13">
        <f t="shared" ca="1" si="34"/>
        <v>0</v>
      </c>
      <c r="CW13">
        <f t="shared" ca="1" si="34"/>
        <v>1</v>
      </c>
      <c r="CX13">
        <f t="shared" ca="1" si="34"/>
        <v>1</v>
      </c>
      <c r="CY13">
        <f t="shared" ca="1" si="34"/>
        <v>0</v>
      </c>
      <c r="DA13" t="str">
        <f t="shared" ca="1" si="78"/>
        <v>-</v>
      </c>
      <c r="DB13" t="str">
        <f t="shared" ca="1" si="79"/>
        <v>-2</v>
      </c>
      <c r="DC13" t="str">
        <f t="shared" ca="1" si="80"/>
        <v/>
      </c>
      <c r="DD13" t="str">
        <f t="shared" ca="1" si="81"/>
        <v>+2</v>
      </c>
      <c r="DE13" t="str">
        <f t="shared" ca="1" si="82"/>
        <v>+5</v>
      </c>
      <c r="DF13" t="str">
        <f t="shared" ca="1" si="83"/>
        <v>-</v>
      </c>
      <c r="DH13">
        <f t="shared" ca="1" si="84"/>
        <v>0</v>
      </c>
      <c r="DI13">
        <f t="shared" ca="1" si="85"/>
        <v>-1</v>
      </c>
      <c r="DJ13">
        <f t="shared" ca="1" si="86"/>
        <v>0</v>
      </c>
      <c r="DK13">
        <f t="shared" ca="1" si="87"/>
        <v>1</v>
      </c>
      <c r="DL13">
        <f t="shared" ca="1" si="88"/>
        <v>1</v>
      </c>
      <c r="DM13">
        <f t="shared" ca="1" si="89"/>
        <v>0</v>
      </c>
      <c r="DO13">
        <f ca="1">RANK(BY13,BY$8:BY$27)+COUNTIF(BY13:BY$27,BY13)-1</f>
        <v>3</v>
      </c>
      <c r="DP13">
        <f ca="1">RANK(BZ13,BZ$8:BZ$27)+COUNTIF(BZ13:BZ$27,BZ13)-1</f>
        <v>12</v>
      </c>
      <c r="DQ13" t="e">
        <f ca="1">RANK(CA13,CA$8:CA$27)+COUNTIF(CA13:CA$27,CA13)-1</f>
        <v>#VALUE!</v>
      </c>
      <c r="DR13">
        <f ca="1">RANK(CB13,CB$8:CB$27)+COUNTIF(CB13:CB$27,CB13)-1</f>
        <v>2</v>
      </c>
      <c r="DS13">
        <f ca="1">RANK(CC13,CC$8:CC$27)+COUNTIF(CC13:CC$27,CC13)-1</f>
        <v>1</v>
      </c>
      <c r="DT13">
        <f ca="1">RANK(CD13,CD$8:CD$27)+COUNTIF(CD13:CD$27,CD13)-1</f>
        <v>15</v>
      </c>
      <c r="DV13">
        <f t="shared" ca="1" si="90"/>
        <v>3</v>
      </c>
      <c r="DW13">
        <f t="shared" ca="1" si="37"/>
        <v>11</v>
      </c>
      <c r="DX13">
        <f t="shared" ca="1" si="37"/>
        <v>5</v>
      </c>
      <c r="DY13">
        <f t="shared" ca="1" si="37"/>
        <v>19</v>
      </c>
      <c r="DZ13">
        <f t="shared" ca="1" si="37"/>
        <v>16</v>
      </c>
      <c r="EA13">
        <f t="shared" ca="1" si="37"/>
        <v>15</v>
      </c>
      <c r="EC13" t="str">
        <f t="shared" ca="1" si="38"/>
        <v>Ecuador</v>
      </c>
      <c r="ED13" t="str">
        <f t="shared" ca="1" si="39"/>
        <v>Dominican Rep</v>
      </c>
      <c r="EE13" t="str">
        <f t="shared" ca="1" si="40"/>
        <v>Peru</v>
      </c>
      <c r="EF13" t="str">
        <f t="shared" ca="1" si="41"/>
        <v>Venezuela</v>
      </c>
      <c r="EG13" t="str">
        <f t="shared" ca="1" si="42"/>
        <v>Guatemala</v>
      </c>
      <c r="EH13" t="str">
        <f t="shared" ca="1" si="43"/>
        <v>Argentina</v>
      </c>
      <c r="EJ13">
        <f t="shared" ca="1" si="44"/>
        <v>69.7</v>
      </c>
      <c r="EK13">
        <f t="shared" ca="1" si="45"/>
        <v>50</v>
      </c>
      <c r="EL13">
        <f t="shared" ca="1" si="46"/>
        <v>58</v>
      </c>
      <c r="EM13">
        <f t="shared" ca="1" si="47"/>
        <v>16.7</v>
      </c>
      <c r="EN13">
        <f t="shared" ca="1" si="48"/>
        <v>1</v>
      </c>
      <c r="EO13">
        <f t="shared" ca="1" si="49"/>
        <v>2.8E-3</v>
      </c>
      <c r="EQ13">
        <f t="shared" ca="1" si="91"/>
        <v>68.3</v>
      </c>
      <c r="ER13">
        <f t="shared" ca="1" si="50"/>
        <v>50</v>
      </c>
      <c r="ES13">
        <f t="shared" ca="1" si="50"/>
        <v>57.9</v>
      </c>
      <c r="ET13">
        <f t="shared" ca="1" si="50"/>
        <v>16.7</v>
      </c>
      <c r="EU13">
        <f t="shared" ca="1" si="50"/>
        <v>1</v>
      </c>
      <c r="EV13">
        <f t="shared" ca="1" si="50"/>
        <v>2.8E-3</v>
      </c>
      <c r="EX13" t="str">
        <f t="shared" ca="1" si="92"/>
        <v>+1.4</v>
      </c>
      <c r="EY13" t="str">
        <f t="shared" ca="1" si="51"/>
        <v>-</v>
      </c>
      <c r="EZ13" t="str">
        <f t="shared" ca="1" si="51"/>
        <v>+0.1</v>
      </c>
      <c r="FA13" t="str">
        <f t="shared" ca="1" si="51"/>
        <v>-</v>
      </c>
      <c r="FB13" t="str">
        <f t="shared" ca="1" si="51"/>
        <v>-</v>
      </c>
      <c r="FE13">
        <f t="shared" ca="1" si="93"/>
        <v>1</v>
      </c>
      <c r="FF13">
        <f t="shared" ca="1" si="52"/>
        <v>0</v>
      </c>
      <c r="FG13">
        <f t="shared" ca="1" si="52"/>
        <v>1</v>
      </c>
      <c r="FH13">
        <f t="shared" ca="1" si="52"/>
        <v>0</v>
      </c>
      <c r="FI13">
        <f t="shared" ca="1" si="52"/>
        <v>0</v>
      </c>
      <c r="FJ13">
        <f t="shared" ca="1" si="52"/>
        <v>0</v>
      </c>
      <c r="FL13" t="str">
        <f t="shared" ca="1" si="94"/>
        <v>-</v>
      </c>
      <c r="FM13" t="str">
        <f t="shared" ca="1" si="53"/>
        <v>-3</v>
      </c>
      <c r="FN13" t="str">
        <f t="shared" ca="1" si="53"/>
        <v>-1</v>
      </c>
      <c r="FO13" t="str">
        <f t="shared" ca="1" si="53"/>
        <v>-2</v>
      </c>
      <c r="FP13" t="str">
        <f t="shared" ca="1" si="53"/>
        <v>-3</v>
      </c>
      <c r="FQ13" t="str">
        <f t="shared" ca="1" si="53"/>
        <v>-</v>
      </c>
      <c r="FS13">
        <f t="shared" ca="1" si="95"/>
        <v>0</v>
      </c>
      <c r="FT13">
        <f t="shared" ca="1" si="54"/>
        <v>-1</v>
      </c>
      <c r="FU13">
        <f t="shared" ca="1" si="54"/>
        <v>-1</v>
      </c>
      <c r="FV13">
        <f t="shared" ca="1" si="54"/>
        <v>-1</v>
      </c>
      <c r="FW13">
        <f t="shared" ca="1" si="54"/>
        <v>-1</v>
      </c>
      <c r="FX13">
        <f t="shared" ca="1" si="54"/>
        <v>0</v>
      </c>
      <c r="FZ13">
        <f t="shared" ca="1" si="96"/>
        <v>3</v>
      </c>
    </row>
    <row r="14" spans="1:182">
      <c r="A14">
        <v>7</v>
      </c>
      <c r="B14">
        <f ca="1">uxb_countries!D9</f>
        <v>1</v>
      </c>
      <c r="C14" t="str">
        <f ca="1">uxb_countries!B9</f>
        <v>Dominican Rep</v>
      </c>
      <c r="D14" t="str">
        <f ca="1">uxb_countries!A9</f>
        <v>DR</v>
      </c>
      <c r="E14" s="4">
        <f ca="1">MATCH(D14,uxb_scores_2007!$J$2:$AC$2,0)</f>
        <v>7</v>
      </c>
      <c r="G14" s="3">
        <f ca="1">IF($B14=0,"",ROUND(OFFSET(uxb_scores_2008!$I$2,G$6,$E14),2))</f>
        <v>48</v>
      </c>
      <c r="H14" s="3">
        <f ca="1">IF($B14=0,"",ROUND(OFFSET(uxb_scores_2008!$I$2,H$6,$E14),2))</f>
        <v>50</v>
      </c>
      <c r="I14" s="3">
        <f ca="1">IF($B14=0,"",ROUND(OFFSET(uxb_scores_2008!$I$2,I$6,$E14),2))</f>
        <v>40</v>
      </c>
      <c r="J14" s="3">
        <f ca="1">IF($B14=0,"",ROUND(OFFSET(uxb_scores_2008!$I$2,J$6,$E14),2))</f>
        <v>50</v>
      </c>
      <c r="K14" s="3">
        <f ca="1">IF($B14=0,"",ROUND(OFFSET(uxb_scores_2008!$I$2,K$6,$E14),2))</f>
        <v>2</v>
      </c>
      <c r="L14">
        <f ca="1">IF($B14=0,"",ROUND(OFFSET(uxb_scores_2008!$I$2,L$6,$E14),4))</f>
        <v>0.1038</v>
      </c>
      <c r="U14">
        <f ca="1">IF($B14=1,RANK(G14,G$8:G$30,$B$1)+COUNTIF(G$8:G14,G14)-1,"")</f>
        <v>9</v>
      </c>
      <c r="V14">
        <f ca="1">IF($B14=1,RANK(H14,H$8:H$30,$B$1)+COUNTIF(H$8:H14,H14)-1,"")</f>
        <v>11</v>
      </c>
      <c r="W14">
        <f ca="1">IF($B14=1,RANK(I14,I$8:I$30,$B$1)+COUNTIF(I$8:I14,I14)-1,"")</f>
        <v>15</v>
      </c>
      <c r="X14">
        <f ca="1">IF($B14=1,RANK(J14,J$8:J$30,$B$1)+COUNTIF(J$8:J14,J14)-1,"")</f>
        <v>8</v>
      </c>
      <c r="Y14">
        <f ca="1">IF($B14=1,RANK(K14,K$8:K$30,$B$1)+COUNTIF(K$8:K14,K14)-1,"")</f>
        <v>7</v>
      </c>
      <c r="Z14">
        <f ca="1">IF($B14=1,RANK(L14,L$8:L$30,$B$1)+COUNTIF(L$8:L14,L14)-1,"")</f>
        <v>9</v>
      </c>
      <c r="AB14">
        <f t="shared" ca="1" si="55"/>
        <v>10</v>
      </c>
      <c r="AC14">
        <f t="shared" ca="1" si="21"/>
        <v>10</v>
      </c>
      <c r="AD14">
        <f t="shared" ca="1" si="21"/>
        <v>3</v>
      </c>
      <c r="AE14">
        <f t="shared" ca="1" si="21"/>
        <v>10</v>
      </c>
      <c r="AF14">
        <f t="shared" ca="1" si="21"/>
        <v>7</v>
      </c>
      <c r="AG14">
        <f t="shared" ca="1" si="21"/>
        <v>9</v>
      </c>
      <c r="AI14" t="str">
        <f t="shared" ca="1" si="56"/>
        <v>Guatemala</v>
      </c>
      <c r="AJ14" t="str">
        <f t="shared" ca="1" si="22"/>
        <v>Guatemala</v>
      </c>
      <c r="AK14" t="str">
        <f t="shared" ca="1" si="22"/>
        <v>Brazil</v>
      </c>
      <c r="AL14" t="str">
        <f t="shared" ca="1" si="22"/>
        <v>Guatemala</v>
      </c>
      <c r="AM14" t="str">
        <f t="shared" ca="1" si="22"/>
        <v>Dominican Rep</v>
      </c>
      <c r="AN14" t="str">
        <f t="shared" ca="1" si="22"/>
        <v>El Salvador</v>
      </c>
      <c r="AP14">
        <f t="shared" ca="1" si="57"/>
        <v>54</v>
      </c>
      <c r="AQ14">
        <f t="shared" ca="1" si="58"/>
        <v>56.3</v>
      </c>
      <c r="AR14">
        <f t="shared" ca="1" si="59"/>
        <v>53.6</v>
      </c>
      <c r="AS14">
        <f t="shared" ca="1" si="60"/>
        <v>58.3</v>
      </c>
      <c r="AT14">
        <f t="shared" ca="1" si="61"/>
        <v>2</v>
      </c>
      <c r="AU14" s="203">
        <f t="shared" ca="1" si="62"/>
        <v>0.16200000000000001</v>
      </c>
      <c r="AV14" s="203"/>
      <c r="AW14" s="206">
        <f t="shared" ca="1" si="63"/>
        <v>7</v>
      </c>
      <c r="AX14" s="206">
        <f t="shared" ca="1" si="23"/>
        <v>6</v>
      </c>
      <c r="AY14" s="206">
        <f t="shared" ca="1" si="23"/>
        <v>7</v>
      </c>
      <c r="AZ14" s="206">
        <f t="shared" ca="1" si="23"/>
        <v>6</v>
      </c>
      <c r="BA14" s="206">
        <f t="shared" ca="1" si="23"/>
        <v>5</v>
      </c>
      <c r="BB14" s="206">
        <f t="shared" ca="1" si="23"/>
        <v>7</v>
      </c>
      <c r="BC14" s="206"/>
      <c r="BD14" s="186">
        <f t="shared" ca="1" si="97"/>
        <v>7</v>
      </c>
      <c r="BE14" s="186" t="str">
        <f t="shared" ca="1" si="98"/>
        <v>=6</v>
      </c>
      <c r="BF14" s="186">
        <f t="shared" ca="1" si="98"/>
        <v>7</v>
      </c>
      <c r="BG14" s="186" t="str">
        <f t="shared" ca="1" si="98"/>
        <v>=6</v>
      </c>
      <c r="BH14" s="186" t="str">
        <f t="shared" ca="1" si="98"/>
        <v>=5</v>
      </c>
      <c r="BI14" s="186">
        <f t="shared" ca="1" si="98"/>
        <v>7</v>
      </c>
      <c r="BK14">
        <f ca="1">IF($B14=0,"",ROUND(OFFSET(uxb_scores_2007!$I$2,G$6,AB14),1))</f>
        <v>44</v>
      </c>
      <c r="BL14">
        <f ca="1">IF($B14=0,"",ROUND(OFFSET(uxb_scores_2007!$I$2,H$6,AC14),1))</f>
        <v>56.3</v>
      </c>
      <c r="BM14">
        <f ca="1">IF($B14=0,"",ROUND(OFFSET(uxb_scores_2007!$I$2,I$6,AD14),1))</f>
        <v>62.1</v>
      </c>
      <c r="BN14">
        <f ca="1">IF($B14=0,"",ROUND(OFFSET(uxb_scores_2007!$I$2,J$6,AE14),1))</f>
        <v>33.299999999999997</v>
      </c>
      <c r="BO14">
        <f ca="1">IF($B14=0,"",ROUND(OFFSET(uxb_scores_2007!$I$2,K$6,AF14),1))</f>
        <v>2</v>
      </c>
      <c r="BP14" s="203">
        <f ca="1">IF($B14=0,"",ROUND(OFFSET(uxb_scores_2007!$I$2,L$6,AG14),4))</f>
        <v>0.16200000000000001</v>
      </c>
      <c r="BR14">
        <f t="shared" ca="1" si="64"/>
        <v>11</v>
      </c>
      <c r="BS14">
        <f t="shared" ca="1" si="65"/>
        <v>6</v>
      </c>
      <c r="BT14">
        <f t="shared" ca="1" si="66"/>
        <v>2</v>
      </c>
      <c r="BU14">
        <f t="shared" ca="1" si="67"/>
        <v>10</v>
      </c>
      <c r="BV14">
        <f t="shared" ca="1" si="68"/>
        <v>5</v>
      </c>
      <c r="BW14">
        <f t="shared" ca="1" si="69"/>
        <v>7</v>
      </c>
      <c r="BY14">
        <f t="shared" ca="1" si="26"/>
        <v>10</v>
      </c>
      <c r="BZ14">
        <f t="shared" ca="1" si="27"/>
        <v>0</v>
      </c>
      <c r="CA14">
        <f t="shared" ca="1" si="28"/>
        <v>-8.5</v>
      </c>
      <c r="CB14">
        <f t="shared" ca="1" si="29"/>
        <v>25</v>
      </c>
      <c r="CC14">
        <f t="shared" ca="1" si="30"/>
        <v>0</v>
      </c>
      <c r="CD14">
        <f t="shared" ca="1" si="31"/>
        <v>0</v>
      </c>
      <c r="CF14" s="206">
        <f t="shared" ca="1" si="70"/>
        <v>4</v>
      </c>
      <c r="CG14" s="206">
        <f t="shared" ca="1" si="71"/>
        <v>0</v>
      </c>
      <c r="CH14" s="206">
        <f t="shared" ca="1" si="72"/>
        <v>-5</v>
      </c>
      <c r="CI14" s="206">
        <f t="shared" ca="1" si="73"/>
        <v>4</v>
      </c>
      <c r="CJ14" s="206">
        <f t="shared" ca="1" si="74"/>
        <v>0</v>
      </c>
      <c r="CK14" s="206">
        <f t="shared" ca="1" si="75"/>
        <v>0</v>
      </c>
      <c r="CM14" t="str">
        <f t="shared" ca="1" si="76"/>
        <v>+10.0</v>
      </c>
      <c r="CN14" t="str">
        <f t="shared" ca="1" si="33"/>
        <v>-</v>
      </c>
      <c r="CO14" t="str">
        <f t="shared" ca="1" si="33"/>
        <v>-8.5</v>
      </c>
      <c r="CP14" t="str">
        <f t="shared" ca="1" si="33"/>
        <v>+25.0</v>
      </c>
      <c r="CQ14" t="str">
        <f t="shared" ca="1" si="33"/>
        <v>-</v>
      </c>
      <c r="CR14" t="str">
        <f t="shared" ca="1" si="33"/>
        <v>-</v>
      </c>
      <c r="CT14">
        <f t="shared" ca="1" si="77"/>
        <v>1</v>
      </c>
      <c r="CU14">
        <f t="shared" ca="1" si="34"/>
        <v>0</v>
      </c>
      <c r="CV14">
        <f t="shared" ca="1" si="34"/>
        <v>-1</v>
      </c>
      <c r="CW14">
        <f t="shared" ca="1" si="34"/>
        <v>1</v>
      </c>
      <c r="CX14">
        <f t="shared" ca="1" si="34"/>
        <v>0</v>
      </c>
      <c r="CY14">
        <f t="shared" ca="1" si="34"/>
        <v>0</v>
      </c>
      <c r="DA14" t="str">
        <f t="shared" ca="1" si="78"/>
        <v>+4</v>
      </c>
      <c r="DB14" t="str">
        <f t="shared" ca="1" si="79"/>
        <v>-</v>
      </c>
      <c r="DC14" t="str">
        <f t="shared" ca="1" si="80"/>
        <v>-5</v>
      </c>
      <c r="DD14" t="str">
        <f t="shared" ca="1" si="81"/>
        <v>+4</v>
      </c>
      <c r="DE14" t="str">
        <f t="shared" ca="1" si="82"/>
        <v>-</v>
      </c>
      <c r="DF14" t="str">
        <f t="shared" ca="1" si="83"/>
        <v>-</v>
      </c>
      <c r="DH14">
        <f t="shared" ca="1" si="84"/>
        <v>1</v>
      </c>
      <c r="DI14">
        <f t="shared" ca="1" si="85"/>
        <v>0</v>
      </c>
      <c r="DJ14">
        <f t="shared" ca="1" si="86"/>
        <v>-1</v>
      </c>
      <c r="DK14">
        <f t="shared" ca="1" si="87"/>
        <v>1</v>
      </c>
      <c r="DL14">
        <f t="shared" ca="1" si="88"/>
        <v>0</v>
      </c>
      <c r="DM14">
        <f t="shared" ca="1" si="89"/>
        <v>0</v>
      </c>
      <c r="DO14">
        <f ca="1">RANK(BY14,BY$8:BY$27)+COUNTIF(BY14:BY$27,BY14)-1</f>
        <v>2</v>
      </c>
      <c r="DP14">
        <f ca="1">RANK(BZ14,BZ$8:BZ$27)+COUNTIF(BZ14:BZ$27,BZ14)-1</f>
        <v>8</v>
      </c>
      <c r="DQ14">
        <f ca="1">RANK(CA14,CA$8:CA$27)+COUNTIF(CA14:CA$27,CA14)-1</f>
        <v>14</v>
      </c>
      <c r="DR14">
        <f ca="1">RANK(CB14,CB$8:CB$27)+COUNTIF(CB14:CB$27,CB14)-1</f>
        <v>1</v>
      </c>
      <c r="DS14">
        <f ca="1">RANK(CC14,CC$8:CC$27)+COUNTIF(CC14:CC$27,CC14)-1</f>
        <v>11</v>
      </c>
      <c r="DT14">
        <f ca="1">RANK(CD14,CD$8:CD$27)+COUNTIF(CD14:CD$27,CD14)-1</f>
        <v>14</v>
      </c>
      <c r="DV14">
        <f t="shared" ca="1" si="90"/>
        <v>10</v>
      </c>
      <c r="DW14">
        <f t="shared" ca="1" si="37"/>
        <v>9</v>
      </c>
      <c r="DX14">
        <f t="shared" ca="1" si="37"/>
        <v>14</v>
      </c>
      <c r="DY14">
        <f t="shared" ca="1" si="37"/>
        <v>13</v>
      </c>
      <c r="DZ14">
        <f t="shared" ca="1" si="37"/>
        <v>14</v>
      </c>
      <c r="EA14">
        <f t="shared" ca="1" si="37"/>
        <v>14</v>
      </c>
      <c r="EC14" t="str">
        <f t="shared" ca="1" si="38"/>
        <v>Mexico</v>
      </c>
      <c r="ED14" t="str">
        <f t="shared" ca="1" si="39"/>
        <v>Nicaragua</v>
      </c>
      <c r="EE14" t="str">
        <f t="shared" ca="1" si="40"/>
        <v>Guatemala</v>
      </c>
      <c r="EF14" t="str">
        <f t="shared" ca="1" si="41"/>
        <v>Chile</v>
      </c>
      <c r="EG14" t="str">
        <f t="shared" ca="1" si="42"/>
        <v>Chile</v>
      </c>
      <c r="EH14" t="str">
        <f t="shared" ca="1" si="43"/>
        <v>Brazil</v>
      </c>
      <c r="EJ14">
        <f t="shared" ca="1" si="44"/>
        <v>47.5</v>
      </c>
      <c r="EK14">
        <f t="shared" ca="1" si="45"/>
        <v>56.3</v>
      </c>
      <c r="EL14">
        <f t="shared" ca="1" si="46"/>
        <v>40.799999999999997</v>
      </c>
      <c r="EM14">
        <f t="shared" ca="1" si="47"/>
        <v>33.299999999999997</v>
      </c>
      <c r="EN14">
        <f t="shared" ca="1" si="48"/>
        <v>1</v>
      </c>
      <c r="EO14">
        <f t="shared" ca="1" si="49"/>
        <v>1.29E-2</v>
      </c>
      <c r="EQ14">
        <f t="shared" ca="1" si="91"/>
        <v>48.3</v>
      </c>
      <c r="ER14">
        <f t="shared" ca="1" si="50"/>
        <v>56.3</v>
      </c>
      <c r="ES14">
        <f t="shared" ca="1" si="50"/>
        <v>40.799999999999997</v>
      </c>
      <c r="ET14">
        <f t="shared" ca="1" si="50"/>
        <v>33.299999999999997</v>
      </c>
      <c r="EU14">
        <f t="shared" ca="1" si="50"/>
        <v>1</v>
      </c>
      <c r="EV14">
        <f t="shared" ca="1" si="50"/>
        <v>1.29E-2</v>
      </c>
      <c r="EX14" t="str">
        <f t="shared" ca="1" si="92"/>
        <v>-0.8</v>
      </c>
      <c r="EY14" t="str">
        <f t="shared" ca="1" si="51"/>
        <v>-</v>
      </c>
      <c r="EZ14" t="str">
        <f t="shared" ca="1" si="51"/>
        <v>-</v>
      </c>
      <c r="FA14" t="str">
        <f t="shared" ca="1" si="51"/>
        <v>-</v>
      </c>
      <c r="FB14" t="str">
        <f t="shared" ca="1" si="51"/>
        <v>-</v>
      </c>
      <c r="FE14">
        <f t="shared" ca="1" si="93"/>
        <v>-1</v>
      </c>
      <c r="FF14">
        <f t="shared" ca="1" si="52"/>
        <v>0</v>
      </c>
      <c r="FG14">
        <f t="shared" ca="1" si="52"/>
        <v>0</v>
      </c>
      <c r="FH14">
        <f t="shared" ca="1" si="52"/>
        <v>0</v>
      </c>
      <c r="FI14">
        <f t="shared" ca="1" si="52"/>
        <v>0</v>
      </c>
      <c r="FJ14">
        <f t="shared" ca="1" si="52"/>
        <v>0</v>
      </c>
      <c r="FL14" t="str">
        <f t="shared" ca="1" si="94"/>
        <v>-2</v>
      </c>
      <c r="FM14" t="str">
        <f t="shared" ca="1" si="53"/>
        <v>-</v>
      </c>
      <c r="FN14" t="str">
        <f t="shared" ca="1" si="53"/>
        <v>-2</v>
      </c>
      <c r="FO14" t="str">
        <f t="shared" ca="1" si="53"/>
        <v>-1</v>
      </c>
      <c r="FP14" t="str">
        <f t="shared" ca="1" si="53"/>
        <v>-3</v>
      </c>
      <c r="FQ14" t="str">
        <f t="shared" ca="1" si="53"/>
        <v>-</v>
      </c>
      <c r="FS14">
        <f t="shared" ca="1" si="95"/>
        <v>-1</v>
      </c>
      <c r="FT14">
        <f t="shared" ca="1" si="54"/>
        <v>0</v>
      </c>
      <c r="FU14">
        <f t="shared" ca="1" si="54"/>
        <v>-1</v>
      </c>
      <c r="FV14">
        <f t="shared" ca="1" si="54"/>
        <v>-1</v>
      </c>
      <c r="FW14">
        <f t="shared" ca="1" si="54"/>
        <v>-1</v>
      </c>
      <c r="FX14">
        <f t="shared" ca="1" si="54"/>
        <v>0</v>
      </c>
      <c r="FZ14">
        <f t="shared" ca="1" si="96"/>
        <v>1</v>
      </c>
    </row>
    <row r="15" spans="1:182">
      <c r="A15">
        <v>8</v>
      </c>
      <c r="B15">
        <f ca="1">uxb_countries!D10</f>
        <v>1</v>
      </c>
      <c r="C15" t="str">
        <f ca="1">uxb_countries!B10</f>
        <v>Ecuador</v>
      </c>
      <c r="D15" t="str">
        <f ca="1">uxb_countries!A10</f>
        <v>EC</v>
      </c>
      <c r="E15" s="4">
        <f ca="1">MATCH(D15,uxb_scores_2007!$J$2:$AC$2,0)</f>
        <v>8</v>
      </c>
      <c r="G15" s="3">
        <f ca="1">IF($B15=0,"",ROUND(OFFSET(uxb_scores_2008!$I$2,G$6,$E15),2))</f>
        <v>69.67</v>
      </c>
      <c r="H15" s="3">
        <f ca="1">IF($B15=0,"",ROUND(OFFSET(uxb_scores_2008!$I$2,H$6,$E15),2))</f>
        <v>75</v>
      </c>
      <c r="I15" s="3">
        <f ca="1">IF($B15=0,"",ROUND(OFFSET(uxb_scores_2008!$I$2,I$6,$E15),2))</f>
        <v>31.67</v>
      </c>
      <c r="J15" s="3">
        <f ca="1">IF($B15=0,"",ROUND(OFFSET(uxb_scores_2008!$I$2,J$6,$E15),2))</f>
        <v>83.33</v>
      </c>
      <c r="K15" s="3">
        <f ca="1">IF($B15=0,"",ROUND(OFFSET(uxb_scores_2008!$I$2,K$6,$E15),2))</f>
        <v>3</v>
      </c>
      <c r="L15">
        <f ca="1">IF($B15=0,"",ROUND(OFFSET(uxb_scores_2008!$I$2,L$6,$E15),4))</f>
        <v>0.26900000000000002</v>
      </c>
      <c r="U15">
        <f ca="1">IF($B15=1,RANK(G15,G$8:G$30,$B$1)+COUNTIF(G$8:G15,G15)-1,"")</f>
        <v>3</v>
      </c>
      <c r="V15">
        <f ca="1">IF($B15=1,RANK(H15,H$8:H$30,$B$1)+COUNTIF(H$8:H15,H15)-1,"")</f>
        <v>3</v>
      </c>
      <c r="W15">
        <f ca="1">IF($B15=1,RANK(I15,I$8:I$30,$B$1)+COUNTIF(I$8:I15,I15)-1,"")</f>
        <v>19</v>
      </c>
      <c r="X15">
        <f ca="1">IF($B15=1,RANK(J15,J$8:J$30,$B$1)+COUNTIF(J$8:J15,J15)-1,"")</f>
        <v>1</v>
      </c>
      <c r="Y15">
        <f ca="1">IF($B15=1,RANK(K15,K$8:K$30,$B$1)+COUNTIF(K$8:K15,K15)-1,"")</f>
        <v>3</v>
      </c>
      <c r="Z15">
        <f ca="1">IF($B15=1,RANK(L15,L$8:L$30,$B$1)+COUNTIF(L$8:L15,L15)-1,"")</f>
        <v>3</v>
      </c>
      <c r="AB15">
        <f t="shared" ca="1" si="55"/>
        <v>17</v>
      </c>
      <c r="AC15">
        <f t="shared" ca="1" si="21"/>
        <v>14</v>
      </c>
      <c r="AD15">
        <f t="shared" ca="1" si="21"/>
        <v>5</v>
      </c>
      <c r="AE15">
        <f t="shared" ca="1" si="21"/>
        <v>7</v>
      </c>
      <c r="AF15">
        <f t="shared" ca="1" si="21"/>
        <v>9</v>
      </c>
      <c r="AG15">
        <f t="shared" ca="1" si="21"/>
        <v>14</v>
      </c>
      <c r="AI15" t="str">
        <f t="shared" ca="1" si="56"/>
        <v>Paraguay</v>
      </c>
      <c r="AJ15" t="str">
        <f t="shared" ca="1" si="22"/>
        <v>Mexico</v>
      </c>
      <c r="AK15" t="str">
        <f t="shared" ca="1" si="22"/>
        <v>Colombia</v>
      </c>
      <c r="AL15" t="str">
        <f t="shared" ca="1" si="22"/>
        <v>Dominican Rep</v>
      </c>
      <c r="AM15" t="str">
        <f t="shared" ca="1" si="22"/>
        <v>El Salvador</v>
      </c>
      <c r="AN15" t="str">
        <f t="shared" ca="1" si="22"/>
        <v>Mexico</v>
      </c>
      <c r="AP15">
        <f t="shared" ca="1" si="57"/>
        <v>49.6</v>
      </c>
      <c r="AQ15">
        <f t="shared" ca="1" si="58"/>
        <v>56.3</v>
      </c>
      <c r="AR15">
        <f t="shared" ca="1" si="59"/>
        <v>51.4</v>
      </c>
      <c r="AS15">
        <f t="shared" ca="1" si="60"/>
        <v>50</v>
      </c>
      <c r="AT15">
        <f t="shared" ca="1" si="61"/>
        <v>2</v>
      </c>
      <c r="AU15" s="203">
        <f t="shared" ca="1" si="62"/>
        <v>0.1172</v>
      </c>
      <c r="AV15" s="203"/>
      <c r="AW15" s="206">
        <f t="shared" ca="1" si="63"/>
        <v>8</v>
      </c>
      <c r="AX15" s="206">
        <f t="shared" ca="1" si="23"/>
        <v>6</v>
      </c>
      <c r="AY15" s="206">
        <f t="shared" ca="1" si="23"/>
        <v>8</v>
      </c>
      <c r="AZ15" s="206">
        <f t="shared" ca="1" si="23"/>
        <v>8</v>
      </c>
      <c r="BA15" s="206">
        <f t="shared" ca="1" si="23"/>
        <v>5</v>
      </c>
      <c r="BB15" s="206">
        <f t="shared" ca="1" si="23"/>
        <v>8</v>
      </c>
      <c r="BC15" s="206"/>
      <c r="BD15" s="186">
        <f t="shared" ca="1" si="97"/>
        <v>8</v>
      </c>
      <c r="BE15" s="186" t="str">
        <f t="shared" ca="1" si="98"/>
        <v>=6</v>
      </c>
      <c r="BF15" s="186">
        <f t="shared" ca="1" si="98"/>
        <v>8</v>
      </c>
      <c r="BG15" s="186" t="str">
        <f t="shared" ca="1" si="98"/>
        <v>=8</v>
      </c>
      <c r="BH15" s="186" t="str">
        <f t="shared" ca="1" si="98"/>
        <v>=5</v>
      </c>
      <c r="BI15" s="186">
        <f t="shared" ca="1" si="98"/>
        <v>8</v>
      </c>
      <c r="BK15">
        <f ca="1">IF($B15=0,"",ROUND(OFFSET(uxb_scores_2007!$I$2,G$6,AB15),1))</f>
        <v>52.9</v>
      </c>
      <c r="BL15">
        <f ca="1">IF($B15=0,"",ROUND(OFFSET(uxb_scores_2007!$I$2,H$6,AC15),1))</f>
        <v>50</v>
      </c>
      <c r="BM15">
        <f ca="1">IF($B15=0,"",ROUND(OFFSET(uxb_scores_2007!$I$2,I$6,AD15),1))</f>
        <v>47.1</v>
      </c>
      <c r="BN15">
        <f ca="1">IF($B15=0,"",ROUND(OFFSET(uxb_scores_2007!$I$2,J$6,AE15),1))</f>
        <v>75</v>
      </c>
      <c r="BO15">
        <f ca="1">IF($B15=0,"",ROUND(OFFSET(uxb_scores_2007!$I$2,K$6,AF15),1))</f>
        <v>3</v>
      </c>
      <c r="BP15" s="203">
        <f ca="1">IF($B15=0,"",ROUND(OFFSET(uxb_scores_2007!$I$2,L$6,AG15),4))</f>
        <v>0.1172</v>
      </c>
      <c r="BR15">
        <f t="shared" ca="1" si="64"/>
        <v>7</v>
      </c>
      <c r="BS15">
        <f t="shared" ca="1" si="65"/>
        <v>8</v>
      </c>
      <c r="BT15">
        <f t="shared" ca="1" si="66"/>
        <v>7</v>
      </c>
      <c r="BU15">
        <f t="shared" ca="1" si="67"/>
        <v>1</v>
      </c>
      <c r="BV15">
        <f t="shared" ca="1" si="68"/>
        <v>2</v>
      </c>
      <c r="BW15">
        <f t="shared" ca="1" si="69"/>
        <v>8</v>
      </c>
      <c r="BY15">
        <f t="shared" ca="1" si="26"/>
        <v>-3.3</v>
      </c>
      <c r="BZ15">
        <f t="shared" ca="1" si="27"/>
        <v>6.3</v>
      </c>
      <c r="CA15">
        <f t="shared" ca="1" si="28"/>
        <v>4.3</v>
      </c>
      <c r="CB15">
        <f t="shared" ca="1" si="29"/>
        <v>-25</v>
      </c>
      <c r="CC15">
        <f t="shared" ca="1" si="30"/>
        <v>-1</v>
      </c>
      <c r="CD15">
        <f t="shared" ca="1" si="31"/>
        <v>0</v>
      </c>
      <c r="CF15" s="206">
        <f t="shared" ca="1" si="70"/>
        <v>-1</v>
      </c>
      <c r="CG15" s="206">
        <f t="shared" ca="1" si="71"/>
        <v>2</v>
      </c>
      <c r="CH15" s="206">
        <f t="shared" ca="1" si="72"/>
        <v>-1</v>
      </c>
      <c r="CI15" s="206">
        <f t="shared" ca="1" si="73"/>
        <v>-7</v>
      </c>
      <c r="CJ15" s="206">
        <f t="shared" ca="1" si="74"/>
        <v>-3</v>
      </c>
      <c r="CK15" s="206">
        <f t="shared" ca="1" si="75"/>
        <v>0</v>
      </c>
      <c r="CM15" t="str">
        <f t="shared" ca="1" si="76"/>
        <v>-3.3</v>
      </c>
      <c r="CN15" t="str">
        <f t="shared" ca="1" si="33"/>
        <v>+6.3</v>
      </c>
      <c r="CO15" t="str">
        <f t="shared" ca="1" si="33"/>
        <v>+4.3</v>
      </c>
      <c r="CP15" t="str">
        <f t="shared" ca="1" si="33"/>
        <v>-25.0</v>
      </c>
      <c r="CQ15" t="str">
        <f t="shared" ca="1" si="33"/>
        <v>-1.0</v>
      </c>
      <c r="CR15" t="str">
        <f t="shared" ca="1" si="33"/>
        <v>-</v>
      </c>
      <c r="CT15">
        <f t="shared" ca="1" si="77"/>
        <v>-1</v>
      </c>
      <c r="CU15">
        <f t="shared" ca="1" si="34"/>
        <v>1</v>
      </c>
      <c r="CV15">
        <f t="shared" ca="1" si="34"/>
        <v>1</v>
      </c>
      <c r="CW15">
        <f t="shared" ca="1" si="34"/>
        <v>-1</v>
      </c>
      <c r="CX15">
        <f t="shared" ca="1" si="34"/>
        <v>-1</v>
      </c>
      <c r="CY15">
        <f t="shared" ca="1" si="34"/>
        <v>0</v>
      </c>
      <c r="DA15" t="str">
        <f t="shared" ca="1" si="78"/>
        <v>-1</v>
      </c>
      <c r="DB15" t="str">
        <f t="shared" ca="1" si="79"/>
        <v>+2</v>
      </c>
      <c r="DC15" t="str">
        <f t="shared" ca="1" si="80"/>
        <v>-1</v>
      </c>
      <c r="DD15" t="str">
        <f t="shared" ca="1" si="81"/>
        <v>-7</v>
      </c>
      <c r="DE15" t="str">
        <f t="shared" ca="1" si="82"/>
        <v>-3</v>
      </c>
      <c r="DF15" t="str">
        <f t="shared" ca="1" si="83"/>
        <v>-</v>
      </c>
      <c r="DH15">
        <f t="shared" ca="1" si="84"/>
        <v>-1</v>
      </c>
      <c r="DI15">
        <f t="shared" ca="1" si="85"/>
        <v>1</v>
      </c>
      <c r="DJ15">
        <f t="shared" ca="1" si="86"/>
        <v>-1</v>
      </c>
      <c r="DK15">
        <f t="shared" ca="1" si="87"/>
        <v>-1</v>
      </c>
      <c r="DL15">
        <f t="shared" ca="1" si="88"/>
        <v>-1</v>
      </c>
      <c r="DM15">
        <f t="shared" ca="1" si="89"/>
        <v>0</v>
      </c>
      <c r="DO15">
        <f ca="1">RANK(BY15,BY$8:BY$27)+COUNTIF(BY15:BY$27,BY15)-1</f>
        <v>11</v>
      </c>
      <c r="DP15">
        <f ca="1">RANK(BZ15,BZ$8:BZ$27)+COUNTIF(BZ15:BZ$27,BZ15)-1</f>
        <v>2</v>
      </c>
      <c r="DQ15">
        <f ca="1">RANK(CA15,CA$8:CA$27)+COUNTIF(CA15:CA$27,CA15)-1</f>
        <v>1</v>
      </c>
      <c r="DR15">
        <f ca="1">RANK(CB15,CB$8:CB$27)+COUNTIF(CB15:CB$27,CB15)-1</f>
        <v>15</v>
      </c>
      <c r="DS15">
        <f ca="1">RANK(CC15,CC$8:CC$27)+COUNTIF(CC15:CC$27,CC15)-1</f>
        <v>14</v>
      </c>
      <c r="DT15">
        <f ca="1">RANK(CD15,CD$8:CD$27)+COUNTIF(CD15:CD$27,CD15)-1</f>
        <v>13</v>
      </c>
      <c r="DV15">
        <f t="shared" ca="1" si="90"/>
        <v>14</v>
      </c>
      <c r="DW15">
        <f t="shared" ca="1" si="37"/>
        <v>7</v>
      </c>
      <c r="DX15">
        <f t="shared" ca="1" si="37"/>
        <v>9</v>
      </c>
      <c r="DY15">
        <f t="shared" ca="1" si="37"/>
        <v>12</v>
      </c>
      <c r="DZ15">
        <f t="shared" ca="1" si="37"/>
        <v>13</v>
      </c>
      <c r="EA15">
        <f t="shared" ca="1" si="37"/>
        <v>13</v>
      </c>
      <c r="EC15" t="str">
        <f t="shared" ca="1" si="38"/>
        <v>Brazil</v>
      </c>
      <c r="ED15" t="str">
        <f t="shared" ca="1" si="39"/>
        <v>Guatemala</v>
      </c>
      <c r="EE15" t="str">
        <f t="shared" ca="1" si="40"/>
        <v>El Salvador</v>
      </c>
      <c r="EF15" t="str">
        <f t="shared" ca="1" si="41"/>
        <v>Brazil</v>
      </c>
      <c r="EG15" t="str">
        <f t="shared" ca="1" si="42"/>
        <v>Argentina</v>
      </c>
      <c r="EH15" t="str">
        <f t="shared" ca="1" si="43"/>
        <v>Venezuela</v>
      </c>
      <c r="EJ15">
        <f t="shared" ca="1" si="44"/>
        <v>41.6</v>
      </c>
      <c r="EK15">
        <f t="shared" ca="1" si="45"/>
        <v>56.3</v>
      </c>
      <c r="EL15">
        <f t="shared" ca="1" si="46"/>
        <v>49.2</v>
      </c>
      <c r="EM15">
        <f t="shared" ca="1" si="47"/>
        <v>33.299999999999997</v>
      </c>
      <c r="EN15">
        <f t="shared" ca="1" si="48"/>
        <v>1</v>
      </c>
      <c r="EO15">
        <f t="shared" ca="1" si="49"/>
        <v>1.38E-2</v>
      </c>
      <c r="EQ15">
        <f t="shared" ca="1" si="91"/>
        <v>43.3</v>
      </c>
      <c r="ER15">
        <f t="shared" ca="1" si="50"/>
        <v>56.3</v>
      </c>
      <c r="ES15">
        <f t="shared" ca="1" si="50"/>
        <v>49.2</v>
      </c>
      <c r="ET15">
        <f t="shared" ca="1" si="50"/>
        <v>33.299999999999997</v>
      </c>
      <c r="EU15">
        <f t="shared" ca="1" si="50"/>
        <v>1</v>
      </c>
      <c r="EV15">
        <f t="shared" ca="1" si="50"/>
        <v>1.38E-2</v>
      </c>
      <c r="EX15" t="str">
        <f t="shared" ca="1" si="92"/>
        <v>-1.7</v>
      </c>
      <c r="EY15" t="str">
        <f t="shared" ca="1" si="51"/>
        <v>-</v>
      </c>
      <c r="EZ15" t="str">
        <f t="shared" ca="1" si="51"/>
        <v>-</v>
      </c>
      <c r="FA15" t="str">
        <f t="shared" ca="1" si="51"/>
        <v>-</v>
      </c>
      <c r="FB15" t="str">
        <f t="shared" ca="1" si="51"/>
        <v>-</v>
      </c>
      <c r="FE15">
        <f t="shared" ca="1" si="93"/>
        <v>-1</v>
      </c>
      <c r="FF15">
        <f t="shared" ca="1" si="52"/>
        <v>0</v>
      </c>
      <c r="FG15">
        <f t="shared" ca="1" si="52"/>
        <v>0</v>
      </c>
      <c r="FH15">
        <f t="shared" ca="1" si="52"/>
        <v>0</v>
      </c>
      <c r="FI15">
        <f t="shared" ca="1" si="52"/>
        <v>0</v>
      </c>
      <c r="FJ15">
        <f t="shared" ca="1" si="52"/>
        <v>0</v>
      </c>
      <c r="FL15" t="str">
        <f t="shared" ca="1" si="94"/>
        <v>-2</v>
      </c>
      <c r="FM15" t="str">
        <f t="shared" ca="1" si="53"/>
        <v>-</v>
      </c>
      <c r="FN15" t="str">
        <f t="shared" ca="1" si="53"/>
        <v>-3</v>
      </c>
      <c r="FO15" t="str">
        <f t="shared" ca="1" si="53"/>
        <v>-1</v>
      </c>
      <c r="FP15" t="str">
        <f t="shared" ca="1" si="53"/>
        <v>-3</v>
      </c>
      <c r="FQ15" t="str">
        <f t="shared" ca="1" si="53"/>
        <v>-</v>
      </c>
      <c r="FS15">
        <f t="shared" ca="1" si="95"/>
        <v>-1</v>
      </c>
      <c r="FT15">
        <f t="shared" ca="1" si="54"/>
        <v>0</v>
      </c>
      <c r="FU15">
        <f t="shared" ca="1" si="54"/>
        <v>-1</v>
      </c>
      <c r="FV15">
        <f t="shared" ca="1" si="54"/>
        <v>-1</v>
      </c>
      <c r="FW15">
        <f t="shared" ca="1" si="54"/>
        <v>-1</v>
      </c>
      <c r="FX15">
        <f t="shared" ca="1" si="54"/>
        <v>0</v>
      </c>
      <c r="FZ15">
        <f t="shared" ca="1" si="96"/>
        <v>-5</v>
      </c>
    </row>
    <row r="16" spans="1:182">
      <c r="A16">
        <v>9</v>
      </c>
      <c r="B16">
        <f ca="1">uxb_countries!D11</f>
        <v>1</v>
      </c>
      <c r="C16" t="str">
        <f ca="1">uxb_countries!B11</f>
        <v>El Salvador</v>
      </c>
      <c r="D16" t="str">
        <f ca="1">uxb_countries!A11</f>
        <v>SV</v>
      </c>
      <c r="E16" s="4">
        <f ca="1">MATCH(D16,uxb_scores_2007!$J$2:$AC$2,0)</f>
        <v>9</v>
      </c>
      <c r="G16" s="3">
        <f ca="1">IF($B16=0,"",ROUND(OFFSET(uxb_scores_2008!$I$2,G$6,$E16),2))</f>
        <v>59</v>
      </c>
      <c r="H16" s="3">
        <f ca="1">IF($B16=0,"",ROUND(OFFSET(uxb_scores_2008!$I$2,H$6,$E16),2))</f>
        <v>56.25</v>
      </c>
      <c r="I16" s="3">
        <f ca="1">IF($B16=0,"",ROUND(OFFSET(uxb_scores_2008!$I$2,I$6,$E16),2))</f>
        <v>49.17</v>
      </c>
      <c r="J16" s="3">
        <f ca="1">IF($B16=0,"",ROUND(OFFSET(uxb_scores_2008!$I$2,J$6,$E16),2))</f>
        <v>66.67</v>
      </c>
      <c r="K16" s="3">
        <f ca="1">IF($B16=0,"",ROUND(OFFSET(uxb_scores_2008!$I$2,K$6,$E16),2))</f>
        <v>2</v>
      </c>
      <c r="L16">
        <f ca="1">IF($B16=0,"",ROUND(OFFSET(uxb_scores_2008!$I$2,L$6,$E16),4))</f>
        <v>0.16200000000000001</v>
      </c>
      <c r="U16">
        <f ca="1">IF($B16=1,RANK(G16,G$8:G$30,$B$1)+COUNTIF(G$8:G16,G16)-1,"")</f>
        <v>4</v>
      </c>
      <c r="V16">
        <f ca="1">IF($B16=1,RANK(H16,H$8:H$30,$B$1)+COUNTIF(H$8:H16,H16)-1,"")</f>
        <v>6</v>
      </c>
      <c r="W16">
        <f ca="1">IF($B16=1,RANK(I16,I$8:I$30,$B$1)+COUNTIF(I$8:I16,I16)-1,"")</f>
        <v>9</v>
      </c>
      <c r="X16">
        <f ca="1">IF($B16=1,RANK(J16,J$8:J$30,$B$1)+COUNTIF(J$8:J16,J16)-1,"")</f>
        <v>4</v>
      </c>
      <c r="Y16">
        <f ca="1">IF($B16=1,RANK(K16,K$8:K$30,$B$1)+COUNTIF(K$8:K16,K16)-1,"")</f>
        <v>8</v>
      </c>
      <c r="Z16">
        <f ca="1">IF($B16=1,RANK(L16,L$8:L$30,$B$1)+COUNTIF(L$8:L16,L16)-1,"")</f>
        <v>7</v>
      </c>
      <c r="AB16">
        <f t="shared" ca="1" si="55"/>
        <v>7</v>
      </c>
      <c r="AC16">
        <f t="shared" ca="1" si="21"/>
        <v>15</v>
      </c>
      <c r="AD16">
        <f t="shared" ca="1" si="21"/>
        <v>9</v>
      </c>
      <c r="AE16">
        <f t="shared" ca="1" si="21"/>
        <v>12</v>
      </c>
      <c r="AF16">
        <f t="shared" ca="1" si="21"/>
        <v>12</v>
      </c>
      <c r="AG16">
        <f t="shared" ca="1" si="21"/>
        <v>7</v>
      </c>
      <c r="AI16" t="str">
        <f t="shared" ca="1" si="56"/>
        <v>Dominican Rep</v>
      </c>
      <c r="AJ16" t="str">
        <f t="shared" ca="1" si="22"/>
        <v>Nicaragua</v>
      </c>
      <c r="AK16" t="str">
        <f t="shared" ca="1" si="22"/>
        <v>El Salvador</v>
      </c>
      <c r="AL16" t="str">
        <f t="shared" ca="1" si="22"/>
        <v>Honduras</v>
      </c>
      <c r="AM16" t="str">
        <f t="shared" ca="1" si="22"/>
        <v>Honduras</v>
      </c>
      <c r="AN16" t="str">
        <f t="shared" ca="1" si="22"/>
        <v>Dominican Rep</v>
      </c>
      <c r="AP16">
        <f t="shared" ca="1" si="57"/>
        <v>48</v>
      </c>
      <c r="AQ16">
        <f t="shared" ca="1" si="58"/>
        <v>56.3</v>
      </c>
      <c r="AR16">
        <f t="shared" ca="1" si="59"/>
        <v>49.2</v>
      </c>
      <c r="AS16">
        <f t="shared" ca="1" si="60"/>
        <v>50</v>
      </c>
      <c r="AT16">
        <f t="shared" ca="1" si="61"/>
        <v>2</v>
      </c>
      <c r="AU16" s="203">
        <f t="shared" ca="1" si="62"/>
        <v>0.1038</v>
      </c>
      <c r="AV16" s="203"/>
      <c r="AW16" s="206">
        <f t="shared" ca="1" si="63"/>
        <v>9</v>
      </c>
      <c r="AX16" s="206">
        <f t="shared" ca="1" si="23"/>
        <v>6</v>
      </c>
      <c r="AY16" s="206">
        <f t="shared" ca="1" si="23"/>
        <v>9</v>
      </c>
      <c r="AZ16" s="206">
        <f t="shared" ca="1" si="23"/>
        <v>8</v>
      </c>
      <c r="BA16" s="206">
        <f t="shared" ca="1" si="23"/>
        <v>5</v>
      </c>
      <c r="BB16" s="206">
        <f t="shared" ca="1" si="23"/>
        <v>9</v>
      </c>
      <c r="BC16" s="206"/>
      <c r="BD16" s="186">
        <f t="shared" ca="1" si="97"/>
        <v>9</v>
      </c>
      <c r="BE16" s="186" t="str">
        <f t="shared" ca="1" si="98"/>
        <v>=6</v>
      </c>
      <c r="BF16" s="186">
        <f t="shared" ca="1" si="98"/>
        <v>9</v>
      </c>
      <c r="BG16" s="186" t="str">
        <f t="shared" ca="1" si="98"/>
        <v>=8</v>
      </c>
      <c r="BH16" s="186" t="str">
        <f t="shared" ca="1" si="98"/>
        <v>=5</v>
      </c>
      <c r="BI16" s="186">
        <f t="shared" ca="1" si="98"/>
        <v>9</v>
      </c>
      <c r="BK16">
        <f ca="1">IF($B16=0,"",ROUND(OFFSET(uxb_scores_2007!$I$2,G$6,AB16),1))</f>
        <v>57.5</v>
      </c>
      <c r="BL16">
        <f ca="1">IF($B16=0,"",ROUND(OFFSET(uxb_scores_2007!$I$2,H$6,AC16),1))</f>
        <v>56.3</v>
      </c>
      <c r="BM16">
        <f ca="1">IF($B16=0,"",ROUND(OFFSET(uxb_scores_2007!$I$2,I$6,AD16),1))</f>
        <v>49.2</v>
      </c>
      <c r="BN16">
        <f ca="1">IF($B16=0,"",ROUND(OFFSET(uxb_scores_2007!$I$2,J$6,AE16),1))</f>
        <v>-1</v>
      </c>
      <c r="BO16">
        <f ca="1">IF($B16=0,"",ROUND(OFFSET(uxb_scores_2007!$I$2,K$6,AF16),1))</f>
        <v>-1</v>
      </c>
      <c r="BP16" s="203">
        <f ca="1">IF($B16=0,"",ROUND(OFFSET(uxb_scores_2007!$I$2,L$6,AG16),4))</f>
        <v>0.1038</v>
      </c>
      <c r="BR16">
        <f t="shared" ca="1" si="64"/>
        <v>5</v>
      </c>
      <c r="BS16">
        <f t="shared" ca="1" si="65"/>
        <v>6</v>
      </c>
      <c r="BT16">
        <f t="shared" ca="1" si="66"/>
        <v>6</v>
      </c>
      <c r="BU16">
        <f t="shared" ca="1" si="67"/>
        <v>16</v>
      </c>
      <c r="BV16">
        <f t="shared" ca="1" si="68"/>
        <v>16</v>
      </c>
      <c r="BW16">
        <f t="shared" ca="1" si="69"/>
        <v>9</v>
      </c>
      <c r="BY16">
        <f t="shared" ca="1" si="26"/>
        <v>-9.5</v>
      </c>
      <c r="BZ16">
        <f t="shared" ca="1" si="27"/>
        <v>0</v>
      </c>
      <c r="CA16">
        <f t="shared" ca="1" si="28"/>
        <v>0</v>
      </c>
      <c r="CB16" t="str">
        <f t="shared" ca="1" si="29"/>
        <v>new</v>
      </c>
      <c r="CC16" t="str">
        <f t="shared" ca="1" si="30"/>
        <v>new</v>
      </c>
      <c r="CD16">
        <f t="shared" ca="1" si="31"/>
        <v>0</v>
      </c>
      <c r="CF16" s="206">
        <f t="shared" ca="1" si="70"/>
        <v>-4</v>
      </c>
      <c r="CG16" s="206">
        <f t="shared" ca="1" si="71"/>
        <v>0</v>
      </c>
      <c r="CH16" s="206">
        <f t="shared" ca="1" si="72"/>
        <v>-3</v>
      </c>
      <c r="CI16" s="206">
        <f t="shared" ca="1" si="73"/>
        <v>8</v>
      </c>
      <c r="CJ16" s="206">
        <f t="shared" ca="1" si="74"/>
        <v>11</v>
      </c>
      <c r="CK16" s="206">
        <f t="shared" ca="1" si="75"/>
        <v>0</v>
      </c>
      <c r="CM16" t="str">
        <f t="shared" ca="1" si="76"/>
        <v>-9.5</v>
      </c>
      <c r="CN16" t="str">
        <f t="shared" ca="1" si="33"/>
        <v>-</v>
      </c>
      <c r="CO16" t="str">
        <f t="shared" ca="1" si="33"/>
        <v>-</v>
      </c>
      <c r="CP16" t="str">
        <f t="shared" ca="1" si="33"/>
        <v>new</v>
      </c>
      <c r="CQ16" t="str">
        <f t="shared" ca="1" si="33"/>
        <v>new</v>
      </c>
      <c r="CR16" t="str">
        <f t="shared" ca="1" si="33"/>
        <v>-</v>
      </c>
      <c r="CT16">
        <f t="shared" ca="1" si="77"/>
        <v>-1</v>
      </c>
      <c r="CU16">
        <f t="shared" ca="1" si="34"/>
        <v>0</v>
      </c>
      <c r="CV16">
        <f t="shared" ca="1" si="34"/>
        <v>0</v>
      </c>
      <c r="CW16">
        <f t="shared" ca="1" si="34"/>
        <v>0</v>
      </c>
      <c r="CX16">
        <f t="shared" ca="1" si="34"/>
        <v>0</v>
      </c>
      <c r="CY16">
        <f t="shared" ca="1" si="34"/>
        <v>0</v>
      </c>
      <c r="DA16" t="str">
        <f t="shared" ca="1" si="78"/>
        <v>-4</v>
      </c>
      <c r="DB16" t="str">
        <f t="shared" ca="1" si="79"/>
        <v>-</v>
      </c>
      <c r="DC16" t="str">
        <f t="shared" ca="1" si="80"/>
        <v>-3</v>
      </c>
      <c r="DD16" t="str">
        <f t="shared" ca="1" si="81"/>
        <v/>
      </c>
      <c r="DE16" t="str">
        <f t="shared" ca="1" si="82"/>
        <v/>
      </c>
      <c r="DF16" t="str">
        <f t="shared" ca="1" si="83"/>
        <v>-</v>
      </c>
      <c r="DH16">
        <f t="shared" ca="1" si="84"/>
        <v>-1</v>
      </c>
      <c r="DI16">
        <f t="shared" ca="1" si="85"/>
        <v>0</v>
      </c>
      <c r="DJ16">
        <f t="shared" ca="1" si="86"/>
        <v>-1</v>
      </c>
      <c r="DK16">
        <f t="shared" ca="1" si="87"/>
        <v>0</v>
      </c>
      <c r="DL16">
        <f t="shared" ca="1" si="88"/>
        <v>0</v>
      </c>
      <c r="DM16">
        <f t="shared" ca="1" si="89"/>
        <v>0</v>
      </c>
      <c r="DO16">
        <f ca="1">RANK(BY16,BY$8:BY$27)+COUNTIF(BY16:BY$27,BY16)-1</f>
        <v>15</v>
      </c>
      <c r="DP16">
        <f ca="1">RANK(BZ16,BZ$8:BZ$27)+COUNTIF(BZ16:BZ$27,BZ16)-1</f>
        <v>7</v>
      </c>
      <c r="DQ16">
        <f ca="1">RANK(CA16,CA$8:CA$27)+COUNTIF(CA16:CA$27,CA16)-1</f>
        <v>8</v>
      </c>
      <c r="DR16" t="e">
        <f ca="1">RANK(CB16,CB$8:CB$27)+COUNTIF(CB16:CB$27,CB16)-1</f>
        <v>#VALUE!</v>
      </c>
      <c r="DS16" t="e">
        <f ca="1">RANK(CC16,CC$8:CC$27)+COUNTIF(CC16:CC$27,CC16)-1</f>
        <v>#VALUE!</v>
      </c>
      <c r="DT16">
        <f ca="1">RANK(CD16,CD$8:CD$27)+COUNTIF(CD16:CD$27,CD16)-1</f>
        <v>12</v>
      </c>
      <c r="DV16">
        <f t="shared" ca="1" si="90"/>
        <v>19</v>
      </c>
      <c r="DW16">
        <f t="shared" ca="1" si="37"/>
        <v>5</v>
      </c>
      <c r="DX16">
        <f t="shared" ca="1" si="37"/>
        <v>3</v>
      </c>
      <c r="DY16">
        <f t="shared" ca="1" si="37"/>
        <v>4</v>
      </c>
      <c r="DZ16">
        <f t="shared" ca="1" si="37"/>
        <v>12</v>
      </c>
      <c r="EA16">
        <f t="shared" ca="1" si="37"/>
        <v>12</v>
      </c>
      <c r="EC16" t="str">
        <f t="shared" ca="1" si="38"/>
        <v>Venezuela</v>
      </c>
      <c r="ED16" t="str">
        <f t="shared" ca="1" si="39"/>
        <v>Paraguay</v>
      </c>
      <c r="EE16" t="str">
        <f t="shared" ca="1" si="40"/>
        <v>Mexico</v>
      </c>
      <c r="EF16" t="str">
        <f t="shared" ca="1" si="41"/>
        <v>El Salvador</v>
      </c>
      <c r="EG16" t="str">
        <f t="shared" ca="1" si="42"/>
        <v>Paraguay</v>
      </c>
      <c r="EH16" t="str">
        <f t="shared" ca="1" si="43"/>
        <v>Uruguay</v>
      </c>
      <c r="EJ16">
        <f t="shared" ca="1" si="44"/>
        <v>24.9</v>
      </c>
      <c r="EK16">
        <f t="shared" ca="1" si="45"/>
        <v>62.5</v>
      </c>
      <c r="EL16">
        <f t="shared" ca="1" si="46"/>
        <v>58.3</v>
      </c>
      <c r="EM16">
        <f t="shared" ca="1" si="47"/>
        <v>66.7</v>
      </c>
      <c r="EN16">
        <f t="shared" ca="1" si="48"/>
        <v>2</v>
      </c>
      <c r="EO16">
        <f t="shared" ca="1" si="49"/>
        <v>1.8499999999999999E-2</v>
      </c>
      <c r="EQ16">
        <f t="shared" ca="1" si="91"/>
        <v>27.4</v>
      </c>
      <c r="ER16">
        <f t="shared" ca="1" si="50"/>
        <v>62.5</v>
      </c>
      <c r="ES16">
        <f t="shared" ca="1" si="50"/>
        <v>58.3</v>
      </c>
      <c r="ET16">
        <f t="shared" ca="1" si="50"/>
        <v>66.7</v>
      </c>
      <c r="EU16">
        <f t="shared" ca="1" si="50"/>
        <v>2</v>
      </c>
      <c r="EV16">
        <f t="shared" ca="1" si="50"/>
        <v>1.8499999999999999E-2</v>
      </c>
      <c r="EX16" t="str">
        <f t="shared" ca="1" si="92"/>
        <v>-2.5</v>
      </c>
      <c r="EY16" t="str">
        <f t="shared" ca="1" si="51"/>
        <v>-</v>
      </c>
      <c r="EZ16" t="str">
        <f t="shared" ca="1" si="51"/>
        <v>-</v>
      </c>
      <c r="FA16" t="str">
        <f t="shared" ca="1" si="51"/>
        <v>-</v>
      </c>
      <c r="FB16" t="str">
        <f t="shared" ca="1" si="51"/>
        <v>-</v>
      </c>
      <c r="FE16">
        <f t="shared" ca="1" si="93"/>
        <v>-1</v>
      </c>
      <c r="FF16">
        <f t="shared" ca="1" si="52"/>
        <v>0</v>
      </c>
      <c r="FG16">
        <f t="shared" ca="1" si="52"/>
        <v>0</v>
      </c>
      <c r="FH16">
        <f t="shared" ca="1" si="52"/>
        <v>0</v>
      </c>
      <c r="FI16">
        <f t="shared" ca="1" si="52"/>
        <v>0</v>
      </c>
      <c r="FJ16">
        <f t="shared" ca="1" si="52"/>
        <v>0</v>
      </c>
      <c r="FL16" t="str">
        <f t="shared" ca="1" si="94"/>
        <v>-5</v>
      </c>
      <c r="FM16" t="str">
        <f t="shared" ca="1" si="53"/>
        <v>-</v>
      </c>
      <c r="FN16" t="str">
        <f t="shared" ca="1" si="53"/>
        <v>-</v>
      </c>
      <c r="FO16" t="str">
        <f t="shared" ca="1" si="53"/>
        <v>+1</v>
      </c>
      <c r="FP16" t="str">
        <f t="shared" ca="1" si="53"/>
        <v>-</v>
      </c>
      <c r="FQ16" t="str">
        <f t="shared" ca="1" si="53"/>
        <v>-</v>
      </c>
      <c r="FS16">
        <f t="shared" ca="1" si="95"/>
        <v>-1</v>
      </c>
      <c r="FT16">
        <f t="shared" ca="1" si="54"/>
        <v>0</v>
      </c>
      <c r="FU16">
        <f t="shared" ca="1" si="54"/>
        <v>0</v>
      </c>
      <c r="FV16">
        <f t="shared" ca="1" si="54"/>
        <v>1</v>
      </c>
      <c r="FW16">
        <f t="shared" ca="1" si="54"/>
        <v>0</v>
      </c>
      <c r="FX16">
        <f t="shared" ca="1" si="54"/>
        <v>0</v>
      </c>
      <c r="FZ16">
        <f t="shared" ca="1" si="96"/>
        <v>-10</v>
      </c>
    </row>
    <row r="17" spans="1:182">
      <c r="A17">
        <v>10</v>
      </c>
      <c r="B17">
        <f ca="1">uxb_countries!D12</f>
        <v>1</v>
      </c>
      <c r="C17" t="str">
        <f ca="1">uxb_countries!B12</f>
        <v>Guatemala</v>
      </c>
      <c r="D17" t="str">
        <f ca="1">uxb_countries!A12</f>
        <v>GT</v>
      </c>
      <c r="E17" s="4">
        <f ca="1">MATCH(D17,uxb_scores_2007!$J$2:$AC$2,0)</f>
        <v>10</v>
      </c>
      <c r="G17" s="3">
        <f ca="1">IF($B17=0,"",ROUND(OFFSET(uxb_scores_2008!$I$2,G$6,$E17),2))</f>
        <v>54</v>
      </c>
      <c r="H17" s="3">
        <f ca="1">IF($B17=0,"",ROUND(OFFSET(uxb_scores_2008!$I$2,H$6,$E17),2))</f>
        <v>56.25</v>
      </c>
      <c r="I17" s="3">
        <f ca="1">IF($B17=0,"",ROUND(OFFSET(uxb_scores_2008!$I$2,I$6,$E17),2))</f>
        <v>40.83</v>
      </c>
      <c r="J17" s="3">
        <f ca="1">IF($B17=0,"",ROUND(OFFSET(uxb_scores_2008!$I$2,J$6,$E17),2))</f>
        <v>58.33</v>
      </c>
      <c r="K17" s="3">
        <f ca="1">IF($B17=0,"",ROUND(OFFSET(uxb_scores_2008!$I$2,K$6,$E17),2))</f>
        <v>1</v>
      </c>
      <c r="L17">
        <f ca="1">IF($B17=0,"",ROUND(OFFSET(uxb_scores_2008!$I$2,L$6,$E17),4))</f>
        <v>0.22700000000000001</v>
      </c>
      <c r="U17">
        <f ca="1">IF($B17=1,RANK(G17,G$8:G$30,$B$1)+COUNTIF(G$8:G17,G17)-1,"")</f>
        <v>7</v>
      </c>
      <c r="V17">
        <f ca="1">IF($B17=1,RANK(H17,H$8:H$30,$B$1)+COUNTIF(H$8:H17,H17)-1,"")</f>
        <v>7</v>
      </c>
      <c r="W17">
        <f ca="1">IF($B17=1,RANK(I17,I$8:I$30,$B$1)+COUNTIF(I$8:I17,I17)-1,"")</f>
        <v>14</v>
      </c>
      <c r="X17">
        <f ca="1">IF($B17=1,RANK(J17,J$8:J$30,$B$1)+COUNTIF(J$8:J17,J17)-1,"")</f>
        <v>7</v>
      </c>
      <c r="Y17">
        <f ca="1">IF($B17=1,RANK(K17,K$8:K$30,$B$1)+COUNTIF(K$8:K17,K17)-1,"")</f>
        <v>16</v>
      </c>
      <c r="Z17">
        <f ca="1">IF($B17=1,RANK(L17,L$8:L$30,$B$1)+COUNTIF(L$8:L17,L17)-1,"")</f>
        <v>5</v>
      </c>
      <c r="AB17">
        <f t="shared" ca="1" si="55"/>
        <v>14</v>
      </c>
      <c r="AC17">
        <f t="shared" ca="1" si="21"/>
        <v>16</v>
      </c>
      <c r="AD17">
        <f t="shared" ca="1" si="21"/>
        <v>2</v>
      </c>
      <c r="AE17">
        <f t="shared" ca="1" si="21"/>
        <v>17</v>
      </c>
      <c r="AF17">
        <f t="shared" ca="1" si="21"/>
        <v>15</v>
      </c>
      <c r="AG17">
        <f t="shared" ca="1" si="21"/>
        <v>5</v>
      </c>
      <c r="AI17" t="str">
        <f t="shared" ca="1" si="56"/>
        <v>Mexico</v>
      </c>
      <c r="AJ17" t="str">
        <f t="shared" ca="1" si="22"/>
        <v>Panama</v>
      </c>
      <c r="AK17" t="str">
        <f t="shared" ca="1" si="22"/>
        <v>Bolivia</v>
      </c>
      <c r="AL17" t="str">
        <f t="shared" ca="1" si="22"/>
        <v>Paraguay</v>
      </c>
      <c r="AM17" t="str">
        <f t="shared" ca="1" si="22"/>
        <v>Nicaragua</v>
      </c>
      <c r="AN17" t="str">
        <f t="shared" ca="1" si="22"/>
        <v>Colombia</v>
      </c>
      <c r="AP17">
        <f t="shared" ca="1" si="57"/>
        <v>47.5</v>
      </c>
      <c r="AQ17">
        <f t="shared" ca="1" si="58"/>
        <v>56.3</v>
      </c>
      <c r="AR17">
        <f t="shared" ca="1" si="59"/>
        <v>46.9</v>
      </c>
      <c r="AS17">
        <f t="shared" ca="1" si="60"/>
        <v>41.7</v>
      </c>
      <c r="AT17">
        <f t="shared" ca="1" si="61"/>
        <v>2</v>
      </c>
      <c r="AU17" s="203">
        <f t="shared" ca="1" si="62"/>
        <v>7.17E-2</v>
      </c>
      <c r="AV17" s="203"/>
      <c r="AW17" s="206">
        <f t="shared" ca="1" si="63"/>
        <v>10</v>
      </c>
      <c r="AX17" s="206">
        <f t="shared" ca="1" si="23"/>
        <v>6</v>
      </c>
      <c r="AY17" s="206">
        <f t="shared" ca="1" si="23"/>
        <v>10</v>
      </c>
      <c r="AZ17" s="206">
        <f t="shared" ca="1" si="23"/>
        <v>10</v>
      </c>
      <c r="BA17" s="206">
        <f t="shared" ca="1" si="23"/>
        <v>5</v>
      </c>
      <c r="BB17" s="206">
        <f t="shared" ca="1" si="23"/>
        <v>10</v>
      </c>
      <c r="BC17" s="206"/>
      <c r="BD17" s="186" t="str">
        <f t="shared" ca="1" si="97"/>
        <v>=10</v>
      </c>
      <c r="BE17" s="186" t="str">
        <f t="shared" ca="1" si="98"/>
        <v>=6</v>
      </c>
      <c r="BF17" s="186">
        <f t="shared" ca="1" si="98"/>
        <v>10</v>
      </c>
      <c r="BG17" s="186">
        <f t="shared" ca="1" si="98"/>
        <v>10</v>
      </c>
      <c r="BH17" s="186" t="str">
        <f t="shared" ca="1" si="98"/>
        <v>=5</v>
      </c>
      <c r="BI17" s="186">
        <f t="shared" ca="1" si="98"/>
        <v>10</v>
      </c>
      <c r="BK17">
        <f ca="1">IF($B17=0,"",ROUND(OFFSET(uxb_scores_2007!$I$2,G$6,AB17),1))</f>
        <v>48.3</v>
      </c>
      <c r="BL17">
        <f ca="1">IF($B17=0,"",ROUND(OFFSET(uxb_scores_2007!$I$2,H$6,AC17),1))</f>
        <v>-1</v>
      </c>
      <c r="BM17">
        <f ca="1">IF($B17=0,"",ROUND(OFFSET(uxb_scores_2007!$I$2,I$6,AD17),1))</f>
        <v>47.1</v>
      </c>
      <c r="BN17">
        <f ca="1">IF($B17=0,"",ROUND(OFFSET(uxb_scores_2007!$I$2,J$6,AE17),1))</f>
        <v>50</v>
      </c>
      <c r="BO17">
        <f ca="1">IF($B17=0,"",ROUND(OFFSET(uxb_scores_2007!$I$2,K$6,AF17),1))</f>
        <v>2</v>
      </c>
      <c r="BP17" s="203">
        <f ca="1">IF($B17=0,"",ROUND(OFFSET(uxb_scores_2007!$I$2,L$6,AG17),4))</f>
        <v>7.17E-2</v>
      </c>
      <c r="BR17">
        <f t="shared" ca="1" si="64"/>
        <v>8</v>
      </c>
      <c r="BS17">
        <f t="shared" ca="1" si="65"/>
        <v>16</v>
      </c>
      <c r="BT17">
        <f t="shared" ca="1" si="66"/>
        <v>7</v>
      </c>
      <c r="BU17">
        <f t="shared" ca="1" si="67"/>
        <v>7</v>
      </c>
      <c r="BV17">
        <f t="shared" ca="1" si="68"/>
        <v>5</v>
      </c>
      <c r="BW17">
        <f t="shared" ca="1" si="69"/>
        <v>10</v>
      </c>
      <c r="BY17">
        <f t="shared" ca="1" si="26"/>
        <v>-0.8</v>
      </c>
      <c r="BZ17" t="str">
        <f t="shared" ca="1" si="27"/>
        <v>new</v>
      </c>
      <c r="CA17">
        <f t="shared" ca="1" si="28"/>
        <v>-0.2</v>
      </c>
      <c r="CB17">
        <f t="shared" ca="1" si="29"/>
        <v>-8.3000000000000007</v>
      </c>
      <c r="CC17">
        <f t="shared" ca="1" si="30"/>
        <v>0</v>
      </c>
      <c r="CD17">
        <f t="shared" ca="1" si="31"/>
        <v>0</v>
      </c>
      <c r="CF17" s="206">
        <f t="shared" ca="1" si="70"/>
        <v>-2</v>
      </c>
      <c r="CG17" s="206">
        <f t="shared" ca="1" si="71"/>
        <v>10</v>
      </c>
      <c r="CH17" s="206">
        <f t="shared" ca="1" si="72"/>
        <v>-3</v>
      </c>
      <c r="CI17" s="206">
        <f t="shared" ca="1" si="73"/>
        <v>-3</v>
      </c>
      <c r="CJ17" s="206">
        <f t="shared" ca="1" si="74"/>
        <v>0</v>
      </c>
      <c r="CK17" s="206">
        <f t="shared" ca="1" si="75"/>
        <v>0</v>
      </c>
      <c r="CM17" t="str">
        <f t="shared" ca="1" si="76"/>
        <v>-0.8</v>
      </c>
      <c r="CN17" t="str">
        <f t="shared" ca="1" si="33"/>
        <v>new</v>
      </c>
      <c r="CO17" t="str">
        <f t="shared" ca="1" si="33"/>
        <v>-0.2</v>
      </c>
      <c r="CP17" t="str">
        <f t="shared" ca="1" si="33"/>
        <v>-8.3</v>
      </c>
      <c r="CQ17" t="str">
        <f t="shared" ca="1" si="33"/>
        <v>-</v>
      </c>
      <c r="CR17" t="str">
        <f t="shared" ca="1" si="33"/>
        <v>-</v>
      </c>
      <c r="CT17">
        <f t="shared" ca="1" si="77"/>
        <v>-1</v>
      </c>
      <c r="CU17">
        <f t="shared" ca="1" si="34"/>
        <v>0</v>
      </c>
      <c r="CV17">
        <f t="shared" ca="1" si="34"/>
        <v>-1</v>
      </c>
      <c r="CW17">
        <f t="shared" ca="1" si="34"/>
        <v>-1</v>
      </c>
      <c r="CX17">
        <f t="shared" ca="1" si="34"/>
        <v>0</v>
      </c>
      <c r="CY17">
        <f t="shared" ca="1" si="34"/>
        <v>0</v>
      </c>
      <c r="DA17" t="str">
        <f t="shared" ca="1" si="78"/>
        <v>-2</v>
      </c>
      <c r="DB17" t="str">
        <f t="shared" ca="1" si="79"/>
        <v/>
      </c>
      <c r="DC17" t="str">
        <f t="shared" ca="1" si="80"/>
        <v>-3</v>
      </c>
      <c r="DD17" t="str">
        <f t="shared" ca="1" si="81"/>
        <v>-3</v>
      </c>
      <c r="DE17" t="str">
        <f t="shared" ca="1" si="82"/>
        <v>-</v>
      </c>
      <c r="DF17" t="str">
        <f t="shared" ca="1" si="83"/>
        <v>-</v>
      </c>
      <c r="DH17">
        <f t="shared" ca="1" si="84"/>
        <v>-1</v>
      </c>
      <c r="DI17">
        <f t="shared" ca="1" si="85"/>
        <v>0</v>
      </c>
      <c r="DJ17">
        <f t="shared" ca="1" si="86"/>
        <v>-1</v>
      </c>
      <c r="DK17">
        <f t="shared" ca="1" si="87"/>
        <v>-1</v>
      </c>
      <c r="DL17">
        <f t="shared" ca="1" si="88"/>
        <v>0</v>
      </c>
      <c r="DM17">
        <f t="shared" ca="1" si="89"/>
        <v>0</v>
      </c>
      <c r="DO17">
        <f ca="1">RANK(BY17,BY$8:BY$27)+COUNTIF(BY17:BY$27,BY17)-1</f>
        <v>7</v>
      </c>
      <c r="DP17" t="e">
        <f ca="1">RANK(BZ17,BZ$8:BZ$27)+COUNTIF(BZ17:BZ$27,BZ17)-1</f>
        <v>#VALUE!</v>
      </c>
      <c r="DQ17">
        <f ca="1">RANK(CA17,CA$8:CA$27)+COUNTIF(CA17:CA$27,CA17)-1</f>
        <v>10</v>
      </c>
      <c r="DR17">
        <f ca="1">RANK(CB17,CB$8:CB$27)+COUNTIF(CB17:CB$27,CB17)-1</f>
        <v>13</v>
      </c>
      <c r="DS17">
        <f ca="1">RANK(CC17,CC$8:CC$27)+COUNTIF(CC17:CC$27,CC17)-1</f>
        <v>10</v>
      </c>
      <c r="DT17">
        <f ca="1">RANK(CD17,CD$8:CD$27)+COUNTIF(CD17:CD$27,CD17)-1</f>
        <v>11</v>
      </c>
      <c r="DV17">
        <f t="shared" ca="1" si="90"/>
        <v>4</v>
      </c>
      <c r="DW17">
        <f t="shared" ca="1" si="37"/>
        <v>3</v>
      </c>
      <c r="DX17">
        <f t="shared" ca="1" si="37"/>
        <v>10</v>
      </c>
      <c r="DY17">
        <f t="shared" ca="1" si="37"/>
        <v>3</v>
      </c>
      <c r="DZ17">
        <f t="shared" ca="1" si="37"/>
        <v>10</v>
      </c>
      <c r="EA17">
        <f t="shared" ca="1" si="37"/>
        <v>11</v>
      </c>
      <c r="EC17" t="str">
        <f t="shared" ca="1" si="38"/>
        <v>El Salvador</v>
      </c>
      <c r="ED17" t="str">
        <f t="shared" ca="1" si="39"/>
        <v>Ecuador</v>
      </c>
      <c r="EE17" t="str">
        <f t="shared" ca="1" si="40"/>
        <v>Bolivia</v>
      </c>
      <c r="EF17" t="str">
        <f t="shared" ca="1" si="41"/>
        <v>Peru</v>
      </c>
      <c r="EG17" t="str">
        <f t="shared" ca="1" si="42"/>
        <v>Nicaragua</v>
      </c>
      <c r="EH17" t="str">
        <f t="shared" ca="1" si="43"/>
        <v>Paraguay</v>
      </c>
      <c r="EJ17">
        <f t="shared" ca="1" si="44"/>
        <v>59</v>
      </c>
      <c r="EK17">
        <f t="shared" ca="1" si="45"/>
        <v>75</v>
      </c>
      <c r="EL17">
        <f t="shared" ca="1" si="46"/>
        <v>46.9</v>
      </c>
      <c r="EM17">
        <f t="shared" ca="1" si="47"/>
        <v>75</v>
      </c>
      <c r="EN17">
        <f t="shared" ca="1" si="48"/>
        <v>2</v>
      </c>
      <c r="EO17">
        <f t="shared" ca="1" si="49"/>
        <v>6.1800000000000001E-2</v>
      </c>
      <c r="EQ17">
        <f t="shared" ca="1" si="91"/>
        <v>61.5</v>
      </c>
      <c r="ER17">
        <f t="shared" ca="1" si="50"/>
        <v>75</v>
      </c>
      <c r="ES17">
        <f t="shared" ca="1" si="50"/>
        <v>47.1</v>
      </c>
      <c r="ET17">
        <f t="shared" ca="1" si="50"/>
        <v>75</v>
      </c>
      <c r="EU17">
        <f t="shared" ca="1" si="50"/>
        <v>2</v>
      </c>
      <c r="EV17">
        <f t="shared" ca="1" si="50"/>
        <v>6.1800000000000001E-2</v>
      </c>
      <c r="EX17" t="str">
        <f t="shared" ca="1" si="92"/>
        <v>-2.5</v>
      </c>
      <c r="EY17" t="str">
        <f t="shared" ca="1" si="51"/>
        <v>-</v>
      </c>
      <c r="EZ17" t="str">
        <f t="shared" ca="1" si="51"/>
        <v>-0.2</v>
      </c>
      <c r="FA17" t="str">
        <f t="shared" ca="1" si="51"/>
        <v>-</v>
      </c>
      <c r="FB17" t="str">
        <f t="shared" ca="1" si="51"/>
        <v>-</v>
      </c>
      <c r="FE17">
        <f t="shared" ca="1" si="93"/>
        <v>-1</v>
      </c>
      <c r="FF17">
        <f t="shared" ca="1" si="52"/>
        <v>0</v>
      </c>
      <c r="FG17">
        <f t="shared" ca="1" si="52"/>
        <v>-1</v>
      </c>
      <c r="FH17">
        <f t="shared" ca="1" si="52"/>
        <v>0</v>
      </c>
      <c r="FI17">
        <f t="shared" ca="1" si="52"/>
        <v>0</v>
      </c>
      <c r="FJ17">
        <f t="shared" ca="1" si="52"/>
        <v>0</v>
      </c>
      <c r="FL17" t="str">
        <f t="shared" ca="1" si="94"/>
        <v>-</v>
      </c>
      <c r="FM17" t="str">
        <f t="shared" ca="1" si="53"/>
        <v>-</v>
      </c>
      <c r="FN17" t="str">
        <f t="shared" ca="1" si="53"/>
        <v>-3</v>
      </c>
      <c r="FO17" t="str">
        <f t="shared" ca="1" si="53"/>
        <v>-1</v>
      </c>
      <c r="FP17" t="str">
        <f t="shared" ca="1" si="53"/>
        <v>-</v>
      </c>
      <c r="FQ17" t="str">
        <f t="shared" ca="1" si="53"/>
        <v>-</v>
      </c>
      <c r="FS17">
        <f t="shared" ca="1" si="95"/>
        <v>0</v>
      </c>
      <c r="FT17">
        <f t="shared" ca="1" si="54"/>
        <v>0</v>
      </c>
      <c r="FU17">
        <f t="shared" ca="1" si="54"/>
        <v>-1</v>
      </c>
      <c r="FV17">
        <f t="shared" ca="1" si="54"/>
        <v>-1</v>
      </c>
      <c r="FW17">
        <f t="shared" ca="1" si="54"/>
        <v>0</v>
      </c>
      <c r="FX17">
        <f t="shared" ca="1" si="54"/>
        <v>0</v>
      </c>
      <c r="FZ17">
        <f t="shared" ca="1" si="96"/>
        <v>4</v>
      </c>
    </row>
    <row r="18" spans="1:182">
      <c r="A18">
        <v>11</v>
      </c>
      <c r="B18">
        <f ca="1">uxb_countries!D13</f>
        <v>1</v>
      </c>
      <c r="C18" t="str">
        <f ca="1">uxb_countries!B13</f>
        <v>Haiti</v>
      </c>
      <c r="D18" t="str">
        <f ca="1">uxb_countries!A13</f>
        <v>HT</v>
      </c>
      <c r="E18" s="4">
        <f ca="1">MATCH(D18,uxb_scores_2007!$J$2:$AC$2,0)</f>
        <v>11</v>
      </c>
      <c r="G18" s="3">
        <f ca="1">IF($B18=0,"",ROUND(OFFSET(uxb_scores_2008!$I$2,G$6,$E18),2))</f>
        <v>30.17</v>
      </c>
      <c r="H18" s="3">
        <f ca="1">IF($B18=0,"",ROUND(OFFSET(uxb_scores_2008!$I$2,H$6,$E18),2))</f>
        <v>43.75</v>
      </c>
      <c r="I18" s="3">
        <f ca="1">IF($B18=0,"",ROUND(OFFSET(uxb_scores_2008!$I$2,I$6,$E18),2))</f>
        <v>30</v>
      </c>
      <c r="J18" s="3">
        <f ca="1">IF($B18=0,"",ROUND(OFFSET(uxb_scores_2008!$I$2,J$6,$E18),2))</f>
        <v>16.670000000000002</v>
      </c>
      <c r="K18" s="3">
        <f ca="1">IF($B18=0,"",ROUND(OFFSET(uxb_scores_2008!$I$2,K$6,$E18),2))</f>
        <v>1</v>
      </c>
      <c r="L18">
        <f ca="1">IF($B18=0,"",ROUND(OFFSET(uxb_scores_2008!$I$2,L$6,$E18),4))</f>
        <v>0</v>
      </c>
      <c r="U18">
        <f ca="1">IF($B18=1,RANK(G18,G$8:G$30,$B$1)+COUNTIF(G$8:G18,G18)-1,"")</f>
        <v>16</v>
      </c>
      <c r="V18">
        <f ca="1">IF($B18=1,RANK(H18,H$8:H$30,$B$1)+COUNTIF(H$8:H18,H18)-1,"")</f>
        <v>14</v>
      </c>
      <c r="W18">
        <f ca="1">IF($B18=1,RANK(I18,I$8:I$30,$B$1)+COUNTIF(I$8:I18,I18)-1,"")</f>
        <v>20</v>
      </c>
      <c r="X18">
        <f ca="1">IF($B18=1,RANK(J18,J$8:J$30,$B$1)+COUNTIF(J$8:J18,J18)-1,"")</f>
        <v>17</v>
      </c>
      <c r="Y18">
        <f ca="1">IF($B18=1,RANK(K18,K$8:K$30,$B$1)+COUNTIF(K$8:K18,K18)-1,"")</f>
        <v>17</v>
      </c>
      <c r="Z18">
        <f ca="1">IF($B18=1,RANK(L18,L$8:L$30,$B$1)+COUNTIF(L$8:L18,L18)-1,"")</f>
        <v>17</v>
      </c>
      <c r="AB18">
        <f t="shared" ca="1" si="55"/>
        <v>16</v>
      </c>
      <c r="AC18">
        <f t="shared" ca="1" si="21"/>
        <v>7</v>
      </c>
      <c r="AD18">
        <f t="shared" ca="1" si="21"/>
        <v>19</v>
      </c>
      <c r="AE18">
        <f t="shared" ca="1" si="21"/>
        <v>1</v>
      </c>
      <c r="AF18">
        <f t="shared" ca="1" si="21"/>
        <v>16</v>
      </c>
      <c r="AG18">
        <f t="shared" ca="1" si="21"/>
        <v>17</v>
      </c>
      <c r="AI18" t="str">
        <f t="shared" ca="1" si="56"/>
        <v>Panama</v>
      </c>
      <c r="AJ18" t="str">
        <f t="shared" ca="1" si="22"/>
        <v>Dominican Rep</v>
      </c>
      <c r="AK18" t="str">
        <f t="shared" ca="1" si="22"/>
        <v>Uruguay</v>
      </c>
      <c r="AL18" t="str">
        <f t="shared" ca="1" si="22"/>
        <v>Argentina</v>
      </c>
      <c r="AM18" t="str">
        <f t="shared" ca="1" si="22"/>
        <v>Panama</v>
      </c>
      <c r="AN18" t="str">
        <f t="shared" ca="1" si="22"/>
        <v>Paraguay</v>
      </c>
      <c r="AP18">
        <f t="shared" ca="1" si="57"/>
        <v>47.5</v>
      </c>
      <c r="AQ18">
        <f t="shared" ca="1" si="58"/>
        <v>50</v>
      </c>
      <c r="AR18">
        <f t="shared" ca="1" si="59"/>
        <v>45.8</v>
      </c>
      <c r="AS18">
        <f t="shared" ca="1" si="60"/>
        <v>33.299999999999997</v>
      </c>
      <c r="AT18">
        <f t="shared" ca="1" si="61"/>
        <v>2</v>
      </c>
      <c r="AU18" s="203">
        <f t="shared" ca="1" si="62"/>
        <v>6.1800000000000001E-2</v>
      </c>
      <c r="AV18" s="203"/>
      <c r="AW18" s="206">
        <f t="shared" ca="1" si="63"/>
        <v>10</v>
      </c>
      <c r="AX18" s="206">
        <f t="shared" ca="1" si="23"/>
        <v>11</v>
      </c>
      <c r="AY18" s="206">
        <f t="shared" ca="1" si="23"/>
        <v>11</v>
      </c>
      <c r="AZ18" s="206">
        <f t="shared" ca="1" si="23"/>
        <v>11</v>
      </c>
      <c r="BA18" s="206">
        <f t="shared" ca="1" si="23"/>
        <v>5</v>
      </c>
      <c r="BB18" s="206">
        <f t="shared" ca="1" si="23"/>
        <v>11</v>
      </c>
      <c r="BC18" s="206"/>
      <c r="BD18" s="186" t="str">
        <f t="shared" ca="1" si="97"/>
        <v>=10</v>
      </c>
      <c r="BE18" s="186" t="str">
        <f t="shared" ca="1" si="98"/>
        <v>=11</v>
      </c>
      <c r="BF18" s="186">
        <f t="shared" ca="1" si="98"/>
        <v>11</v>
      </c>
      <c r="BG18" s="186" t="str">
        <f t="shared" ca="1" si="98"/>
        <v>=11</v>
      </c>
      <c r="BH18" s="186" t="str">
        <f t="shared" ca="1" si="98"/>
        <v>=5</v>
      </c>
      <c r="BI18" s="186">
        <f t="shared" ca="1" si="98"/>
        <v>11</v>
      </c>
      <c r="BK18">
        <f ca="1">IF($B18=0,"",ROUND(OFFSET(uxb_scores_2007!$I$2,G$6,AB18),1))</f>
        <v>-1</v>
      </c>
      <c r="BL18">
        <f ca="1">IF($B18=0,"",ROUND(OFFSET(uxb_scores_2007!$I$2,H$6,AC18),1))</f>
        <v>50</v>
      </c>
      <c r="BM18">
        <f ca="1">IF($B18=0,"",ROUND(OFFSET(uxb_scores_2007!$I$2,I$6,AD18),1))</f>
        <v>54.2</v>
      </c>
      <c r="BN18">
        <f ca="1">IF($B18=0,"",ROUND(OFFSET(uxb_scores_2007!$I$2,J$6,AE18),1))</f>
        <v>25</v>
      </c>
      <c r="BO18">
        <f ca="1">IF($B18=0,"",ROUND(OFFSET(uxb_scores_2007!$I$2,K$6,AF18),1))</f>
        <v>-1</v>
      </c>
      <c r="BP18" s="203">
        <f ca="1">IF($B18=0,"",ROUND(OFFSET(uxb_scores_2007!$I$2,L$6,AG18),4))</f>
        <v>6.1800000000000001E-2</v>
      </c>
      <c r="BR18">
        <f t="shared" ca="1" si="64"/>
        <v>16</v>
      </c>
      <c r="BS18">
        <f t="shared" ca="1" si="65"/>
        <v>8</v>
      </c>
      <c r="BT18">
        <f t="shared" ca="1" si="66"/>
        <v>5</v>
      </c>
      <c r="BU18">
        <f t="shared" ca="1" si="67"/>
        <v>13</v>
      </c>
      <c r="BV18">
        <f t="shared" ca="1" si="68"/>
        <v>16</v>
      </c>
      <c r="BW18">
        <f t="shared" ca="1" si="69"/>
        <v>11</v>
      </c>
      <c r="BY18" t="str">
        <f t="shared" ca="1" si="26"/>
        <v>new</v>
      </c>
      <c r="BZ18">
        <f t="shared" ca="1" si="27"/>
        <v>0</v>
      </c>
      <c r="CA18">
        <f t="shared" ca="1" si="28"/>
        <v>-8.4</v>
      </c>
      <c r="CB18">
        <f t="shared" ca="1" si="29"/>
        <v>8.3000000000000007</v>
      </c>
      <c r="CC18" t="str">
        <f t="shared" ca="1" si="30"/>
        <v>new</v>
      </c>
      <c r="CD18">
        <f t="shared" ca="1" si="31"/>
        <v>0</v>
      </c>
      <c r="CF18" s="206">
        <f t="shared" ca="1" si="70"/>
        <v>6</v>
      </c>
      <c r="CG18" s="206">
        <f t="shared" ca="1" si="71"/>
        <v>-3</v>
      </c>
      <c r="CH18" s="206">
        <f t="shared" ca="1" si="72"/>
        <v>-6</v>
      </c>
      <c r="CI18" s="206">
        <f t="shared" ca="1" si="73"/>
        <v>2</v>
      </c>
      <c r="CJ18" s="206">
        <f t="shared" ca="1" si="74"/>
        <v>11</v>
      </c>
      <c r="CK18" s="206">
        <f t="shared" ca="1" si="75"/>
        <v>0</v>
      </c>
      <c r="CM18" t="str">
        <f t="shared" ca="1" si="76"/>
        <v>new</v>
      </c>
      <c r="CN18" t="str">
        <f t="shared" ca="1" si="33"/>
        <v>-</v>
      </c>
      <c r="CO18" t="str">
        <f t="shared" ca="1" si="33"/>
        <v>-8.4</v>
      </c>
      <c r="CP18" t="str">
        <f t="shared" ca="1" si="33"/>
        <v>+8.3</v>
      </c>
      <c r="CQ18" t="str">
        <f t="shared" ca="1" si="33"/>
        <v>new</v>
      </c>
      <c r="CR18" t="str">
        <f t="shared" ca="1" si="33"/>
        <v>-</v>
      </c>
      <c r="CT18">
        <f t="shared" ca="1" si="77"/>
        <v>0</v>
      </c>
      <c r="CU18">
        <f t="shared" ca="1" si="34"/>
        <v>0</v>
      </c>
      <c r="CV18">
        <f t="shared" ca="1" si="34"/>
        <v>-1</v>
      </c>
      <c r="CW18">
        <f t="shared" ca="1" si="34"/>
        <v>1</v>
      </c>
      <c r="CX18">
        <f t="shared" ca="1" si="34"/>
        <v>0</v>
      </c>
      <c r="CY18">
        <f t="shared" ca="1" si="34"/>
        <v>0</v>
      </c>
      <c r="DA18" t="str">
        <f t="shared" ca="1" si="78"/>
        <v/>
      </c>
      <c r="DB18" t="str">
        <f t="shared" ca="1" si="79"/>
        <v>-3</v>
      </c>
      <c r="DC18" t="str">
        <f t="shared" ca="1" si="80"/>
        <v>-6</v>
      </c>
      <c r="DD18" t="str">
        <f t="shared" ca="1" si="81"/>
        <v>+2</v>
      </c>
      <c r="DE18" t="str">
        <f t="shared" ca="1" si="82"/>
        <v/>
      </c>
      <c r="DF18" t="str">
        <f t="shared" ca="1" si="83"/>
        <v>-</v>
      </c>
      <c r="DH18">
        <f t="shared" ca="1" si="84"/>
        <v>0</v>
      </c>
      <c r="DI18">
        <f t="shared" ca="1" si="85"/>
        <v>-1</v>
      </c>
      <c r="DJ18">
        <f t="shared" ca="1" si="86"/>
        <v>-1</v>
      </c>
      <c r="DK18">
        <f t="shared" ca="1" si="87"/>
        <v>1</v>
      </c>
      <c r="DL18">
        <f t="shared" ca="1" si="88"/>
        <v>0</v>
      </c>
      <c r="DM18">
        <f t="shared" ca="1" si="89"/>
        <v>0</v>
      </c>
      <c r="DO18" t="e">
        <f ca="1">RANK(BY18,BY$8:BY$27)+COUNTIF(BY18:BY$27,BY18)-1</f>
        <v>#VALUE!</v>
      </c>
      <c r="DP18">
        <f ca="1">RANK(BZ18,BZ$8:BZ$27)+COUNTIF(BZ18:BZ$27,BZ18)-1</f>
        <v>6</v>
      </c>
      <c r="DQ18">
        <f ca="1">RANK(CA18,CA$8:CA$27)+COUNTIF(CA18:CA$27,CA18)-1</f>
        <v>13</v>
      </c>
      <c r="DR18">
        <f ca="1">RANK(CB18,CB$8:CB$27)+COUNTIF(CB18:CB$27,CB18)-1</f>
        <v>4</v>
      </c>
      <c r="DS18" t="e">
        <f ca="1">RANK(CC18,CC$8:CC$27)+COUNTIF(CC18:CC$27,CC18)-1</f>
        <v>#VALUE!</v>
      </c>
      <c r="DT18">
        <f ca="1">RANK(CD18,CD$8:CD$27)+COUNTIF(CD18:CD$27,CD18)-1</f>
        <v>10</v>
      </c>
      <c r="DV18">
        <f t="shared" ca="1" si="90"/>
        <v>8</v>
      </c>
      <c r="DW18">
        <f t="shared" ca="1" si="37"/>
        <v>17</v>
      </c>
      <c r="DX18">
        <f t="shared" ca="1" si="37"/>
        <v>1</v>
      </c>
      <c r="DY18">
        <f t="shared" ca="1" si="37"/>
        <v>2</v>
      </c>
      <c r="DZ18">
        <f t="shared" ca="1" si="37"/>
        <v>7</v>
      </c>
      <c r="EA18">
        <f t="shared" ca="1" si="37"/>
        <v>10</v>
      </c>
      <c r="EC18" t="str">
        <f t="shared" ca="1" si="38"/>
        <v>Paraguay</v>
      </c>
      <c r="ED18" t="str">
        <f t="shared" ca="1" si="39"/>
        <v>Uruguay</v>
      </c>
      <c r="EE18" t="str">
        <f t="shared" ca="1" si="40"/>
        <v>Chile</v>
      </c>
      <c r="EF18" t="str">
        <f t="shared" ca="1" si="41"/>
        <v>Bolivia</v>
      </c>
      <c r="EG18" t="str">
        <f t="shared" ca="1" si="42"/>
        <v>Dominican Rep</v>
      </c>
      <c r="EH18" t="str">
        <f t="shared" ca="1" si="43"/>
        <v>Colombia</v>
      </c>
      <c r="EJ18">
        <f t="shared" ca="1" si="44"/>
        <v>49.6</v>
      </c>
      <c r="EK18">
        <f t="shared" ca="1" si="45"/>
        <v>31.3</v>
      </c>
      <c r="EL18">
        <f t="shared" ca="1" si="46"/>
        <v>74.2</v>
      </c>
      <c r="EM18">
        <f t="shared" ca="1" si="47"/>
        <v>75</v>
      </c>
      <c r="EN18">
        <f t="shared" ca="1" si="48"/>
        <v>2</v>
      </c>
      <c r="EO18">
        <f t="shared" ca="1" si="49"/>
        <v>7.17E-2</v>
      </c>
      <c r="EQ18">
        <f t="shared" ca="1" si="91"/>
        <v>52.9</v>
      </c>
      <c r="ER18">
        <f t="shared" ca="1" si="50"/>
        <v>37.5</v>
      </c>
      <c r="ES18">
        <f t="shared" ca="1" si="50"/>
        <v>75</v>
      </c>
      <c r="ET18">
        <f t="shared" ca="1" si="50"/>
        <v>75</v>
      </c>
      <c r="EU18">
        <f t="shared" ca="1" si="50"/>
        <v>2</v>
      </c>
      <c r="EV18">
        <f t="shared" ca="1" si="50"/>
        <v>7.17E-2</v>
      </c>
      <c r="EX18" t="str">
        <f t="shared" ca="1" si="92"/>
        <v>-3.3</v>
      </c>
      <c r="EY18" t="str">
        <f t="shared" ca="1" si="51"/>
        <v>-6.2</v>
      </c>
      <c r="EZ18" t="str">
        <f t="shared" ca="1" si="51"/>
        <v>-0.8</v>
      </c>
      <c r="FA18" t="str">
        <f t="shared" ca="1" si="51"/>
        <v>-</v>
      </c>
      <c r="FB18" t="str">
        <f t="shared" ca="1" si="51"/>
        <v>-</v>
      </c>
      <c r="FE18">
        <f t="shared" ca="1" si="93"/>
        <v>-1</v>
      </c>
      <c r="FF18">
        <f t="shared" ca="1" si="52"/>
        <v>-1</v>
      </c>
      <c r="FG18">
        <f t="shared" ca="1" si="52"/>
        <v>-1</v>
      </c>
      <c r="FH18">
        <f t="shared" ca="1" si="52"/>
        <v>0</v>
      </c>
      <c r="FI18">
        <f t="shared" ca="1" si="52"/>
        <v>0</v>
      </c>
      <c r="FJ18">
        <f t="shared" ca="1" si="52"/>
        <v>0</v>
      </c>
      <c r="FL18" t="str">
        <f t="shared" ca="1" si="94"/>
        <v>-1</v>
      </c>
      <c r="FM18" t="str">
        <f t="shared" ca="1" si="53"/>
        <v>-4</v>
      </c>
      <c r="FN18" t="str">
        <f t="shared" ca="1" si="53"/>
        <v>-</v>
      </c>
      <c r="FO18" t="str">
        <f t="shared" ca="1" si="53"/>
        <v>-1</v>
      </c>
      <c r="FP18" t="str">
        <f t="shared" ca="1" si="53"/>
        <v>-</v>
      </c>
      <c r="FQ18" t="str">
        <f t="shared" ca="1" si="53"/>
        <v>-</v>
      </c>
      <c r="FS18">
        <f t="shared" ca="1" si="95"/>
        <v>-1</v>
      </c>
      <c r="FT18">
        <f t="shared" ca="1" si="54"/>
        <v>-1</v>
      </c>
      <c r="FU18">
        <f t="shared" ca="1" si="54"/>
        <v>0</v>
      </c>
      <c r="FV18">
        <f t="shared" ca="1" si="54"/>
        <v>-1</v>
      </c>
      <c r="FW18">
        <f t="shared" ca="1" si="54"/>
        <v>0</v>
      </c>
      <c r="FX18">
        <f t="shared" ca="1" si="54"/>
        <v>0</v>
      </c>
      <c r="FZ18">
        <f t="shared" ca="1" si="96"/>
        <v>8</v>
      </c>
    </row>
    <row r="19" spans="1:182">
      <c r="A19">
        <v>12</v>
      </c>
      <c r="B19">
        <f ca="1">uxb_countries!D14</f>
        <v>1</v>
      </c>
      <c r="C19" t="str">
        <f ca="1">uxb_countries!B14</f>
        <v>Honduras</v>
      </c>
      <c r="D19" t="str">
        <f ca="1">uxb_countries!A14</f>
        <v>HN</v>
      </c>
      <c r="E19" s="4">
        <f ca="1">MATCH(D19,uxb_scores_2007!$J$2:$AC$2,0)</f>
        <v>12</v>
      </c>
      <c r="G19" s="3">
        <f ca="1">IF($B19=0,"",ROUND(OFFSET(uxb_scores_2008!$I$2,G$6,$E19),2))</f>
        <v>47.11</v>
      </c>
      <c r="H19" s="3">
        <f ca="1">IF($B19=0,"",ROUND(OFFSET(uxb_scores_2008!$I$2,H$6,$E19),2))</f>
        <v>50</v>
      </c>
      <c r="I19" s="3">
        <f ca="1">IF($B19=0,"",ROUND(OFFSET(uxb_scores_2008!$I$2,I$6,$E19),2))</f>
        <v>35.54</v>
      </c>
      <c r="J19" s="3">
        <f ca="1">IF($B19=0,"",ROUND(OFFSET(uxb_scores_2008!$I$2,J$6,$E19),2))</f>
        <v>50</v>
      </c>
      <c r="K19" s="3">
        <f ca="1">IF($B19=0,"",ROUND(OFFSET(uxb_scores_2008!$I$2,K$6,$E19),2))</f>
        <v>2</v>
      </c>
      <c r="L19">
        <f ca="1">IF($B19=0,"",ROUND(OFFSET(uxb_scores_2008!$I$2,L$6,$E19),4))</f>
        <v>0</v>
      </c>
      <c r="U19">
        <f ca="1">IF($B19=1,RANK(G19,G$8:G$30,$B$1)+COUNTIF(G$8:G19,G19)-1,"")</f>
        <v>12</v>
      </c>
      <c r="V19">
        <f ca="1">IF($B19=1,RANK(H19,H$8:H$30,$B$1)+COUNTIF(H$8:H19,H19)-1,"")</f>
        <v>12</v>
      </c>
      <c r="W19">
        <f ca="1">IF($B19=1,RANK(I19,I$8:I$30,$B$1)+COUNTIF(I$8:I19,I19)-1,"")</f>
        <v>18</v>
      </c>
      <c r="X19">
        <f ca="1">IF($B19=1,RANK(J19,J$8:J$30,$B$1)+COUNTIF(J$8:J19,J19)-1,"")</f>
        <v>9</v>
      </c>
      <c r="Y19">
        <f ca="1">IF($B19=1,RANK(K19,K$8:K$30,$B$1)+COUNTIF(K$8:K19,K19)-1,"")</f>
        <v>9</v>
      </c>
      <c r="Z19">
        <f ca="1">IF($B19=1,RANK(L19,L$8:L$30,$B$1)+COUNTIF(L$8:L19,L19)-1,"")</f>
        <v>18</v>
      </c>
      <c r="AB19">
        <f t="shared" ca="1" si="55"/>
        <v>12</v>
      </c>
      <c r="AC19">
        <f t="shared" ca="1" si="21"/>
        <v>12</v>
      </c>
      <c r="AD19">
        <f t="shared" ca="1" si="21"/>
        <v>15</v>
      </c>
      <c r="AE19">
        <f t="shared" ca="1" si="21"/>
        <v>3</v>
      </c>
      <c r="AF19">
        <f t="shared" ca="1" si="21"/>
        <v>17</v>
      </c>
      <c r="AG19">
        <f t="shared" ca="1" si="21"/>
        <v>19</v>
      </c>
      <c r="AI19" t="str">
        <f t="shared" ca="1" si="56"/>
        <v>Honduras</v>
      </c>
      <c r="AJ19" t="str">
        <f t="shared" ca="1" si="22"/>
        <v>Honduras</v>
      </c>
      <c r="AK19" t="str">
        <f t="shared" ca="1" si="22"/>
        <v>Nicaragua</v>
      </c>
      <c r="AL19" t="str">
        <f t="shared" ca="1" si="22"/>
        <v>Brazil</v>
      </c>
      <c r="AM19" t="str">
        <f t="shared" ca="1" si="22"/>
        <v>Paraguay</v>
      </c>
      <c r="AN19" t="str">
        <f t="shared" ca="1" si="22"/>
        <v>Uruguay</v>
      </c>
      <c r="AP19">
        <f t="shared" ca="1" si="57"/>
        <v>47.1</v>
      </c>
      <c r="AQ19">
        <f t="shared" ca="1" si="58"/>
        <v>50</v>
      </c>
      <c r="AR19">
        <f t="shared" ca="1" si="59"/>
        <v>44.2</v>
      </c>
      <c r="AS19">
        <f t="shared" ca="1" si="60"/>
        <v>33.299999999999997</v>
      </c>
      <c r="AT19">
        <f t="shared" ca="1" si="61"/>
        <v>2</v>
      </c>
      <c r="AU19" s="203">
        <f t="shared" ca="1" si="62"/>
        <v>1.8499999999999999E-2</v>
      </c>
      <c r="AV19" s="203"/>
      <c r="AW19" s="206">
        <f t="shared" ca="1" si="63"/>
        <v>12</v>
      </c>
      <c r="AX19" s="206">
        <f t="shared" ca="1" si="23"/>
        <v>11</v>
      </c>
      <c r="AY19" s="206">
        <f t="shared" ca="1" si="23"/>
        <v>12</v>
      </c>
      <c r="AZ19" s="206">
        <f t="shared" ca="1" si="23"/>
        <v>11</v>
      </c>
      <c r="BA19" s="206">
        <f t="shared" ca="1" si="23"/>
        <v>5</v>
      </c>
      <c r="BB19" s="206">
        <f t="shared" ca="1" si="23"/>
        <v>12</v>
      </c>
      <c r="BC19" s="206"/>
      <c r="BD19" s="186">
        <f t="shared" ca="1" si="97"/>
        <v>12</v>
      </c>
      <c r="BE19" s="186" t="str">
        <f t="shared" ca="1" si="98"/>
        <v>=11</v>
      </c>
      <c r="BF19" s="186">
        <f t="shared" ca="1" si="98"/>
        <v>12</v>
      </c>
      <c r="BG19" s="186" t="str">
        <f t="shared" ca="1" si="98"/>
        <v>=11</v>
      </c>
      <c r="BH19" s="186" t="str">
        <f t="shared" ca="1" si="98"/>
        <v>=5</v>
      </c>
      <c r="BI19" s="186">
        <f t="shared" ca="1" si="98"/>
        <v>12</v>
      </c>
      <c r="BK19">
        <f ca="1">IF($B19=0,"",ROUND(OFFSET(uxb_scores_2007!$I$2,G$6,AB19),1))</f>
        <v>-1</v>
      </c>
      <c r="BL19">
        <f ca="1">IF($B19=0,"",ROUND(OFFSET(uxb_scores_2007!$I$2,H$6,AC19),1))</f>
        <v>-1</v>
      </c>
      <c r="BM19">
        <f ca="1">IF($B19=0,"",ROUND(OFFSET(uxb_scores_2007!$I$2,I$6,AD19),1))</f>
        <v>40</v>
      </c>
      <c r="BN19">
        <f ca="1">IF($B19=0,"",ROUND(OFFSET(uxb_scores_2007!$I$2,J$6,AE19),1))</f>
        <v>33.299999999999997</v>
      </c>
      <c r="BO19">
        <f ca="1">IF($B19=0,"",ROUND(OFFSET(uxb_scores_2007!$I$2,K$6,AF19),1))</f>
        <v>2</v>
      </c>
      <c r="BP19" s="203">
        <f ca="1">IF($B19=0,"",ROUND(OFFSET(uxb_scores_2007!$I$2,L$6,AG19),4))</f>
        <v>1.8499999999999999E-2</v>
      </c>
      <c r="BR19">
        <f t="shared" ca="1" si="64"/>
        <v>16</v>
      </c>
      <c r="BS19">
        <f t="shared" ca="1" si="65"/>
        <v>16</v>
      </c>
      <c r="BT19">
        <f t="shared" ca="1" si="66"/>
        <v>13</v>
      </c>
      <c r="BU19">
        <f t="shared" ca="1" si="67"/>
        <v>10</v>
      </c>
      <c r="BV19">
        <f t="shared" ca="1" si="68"/>
        <v>5</v>
      </c>
      <c r="BW19">
        <f t="shared" ca="1" si="69"/>
        <v>12</v>
      </c>
      <c r="BY19" t="str">
        <f t="shared" ca="1" si="26"/>
        <v>new</v>
      </c>
      <c r="BZ19" t="str">
        <f t="shared" ca="1" si="27"/>
        <v>new</v>
      </c>
      <c r="CA19">
        <f t="shared" ca="1" si="28"/>
        <v>4.2</v>
      </c>
      <c r="CB19">
        <f t="shared" ca="1" si="29"/>
        <v>0</v>
      </c>
      <c r="CC19">
        <f t="shared" ca="1" si="30"/>
        <v>0</v>
      </c>
      <c r="CD19">
        <f t="shared" ca="1" si="31"/>
        <v>0</v>
      </c>
      <c r="CF19" s="206">
        <f t="shared" ca="1" si="70"/>
        <v>4</v>
      </c>
      <c r="CG19" s="206">
        <f t="shared" ca="1" si="71"/>
        <v>5</v>
      </c>
      <c r="CH19" s="206">
        <f t="shared" ca="1" si="72"/>
        <v>1</v>
      </c>
      <c r="CI19" s="206">
        <f t="shared" ca="1" si="73"/>
        <v>-1</v>
      </c>
      <c r="CJ19" s="206">
        <f t="shared" ca="1" si="74"/>
        <v>0</v>
      </c>
      <c r="CK19" s="206">
        <f t="shared" ca="1" si="75"/>
        <v>0</v>
      </c>
      <c r="CM19" t="str">
        <f t="shared" ca="1" si="76"/>
        <v>new</v>
      </c>
      <c r="CN19" t="str">
        <f t="shared" ca="1" si="33"/>
        <v>new</v>
      </c>
      <c r="CO19" t="str">
        <f t="shared" ca="1" si="33"/>
        <v>+4.2</v>
      </c>
      <c r="CP19" t="str">
        <f t="shared" ca="1" si="33"/>
        <v>-</v>
      </c>
      <c r="CQ19" t="str">
        <f t="shared" ca="1" si="33"/>
        <v>-</v>
      </c>
      <c r="CR19" t="str">
        <f t="shared" ca="1" si="33"/>
        <v>-</v>
      </c>
      <c r="CT19">
        <f t="shared" ca="1" si="77"/>
        <v>0</v>
      </c>
      <c r="CU19">
        <f t="shared" ca="1" si="34"/>
        <v>0</v>
      </c>
      <c r="CV19">
        <f t="shared" ca="1" si="34"/>
        <v>1</v>
      </c>
      <c r="CW19">
        <f t="shared" ca="1" si="34"/>
        <v>0</v>
      </c>
      <c r="CX19">
        <f t="shared" ca="1" si="34"/>
        <v>0</v>
      </c>
      <c r="CY19">
        <f t="shared" ca="1" si="34"/>
        <v>0</v>
      </c>
      <c r="DA19" t="str">
        <f t="shared" ca="1" si="78"/>
        <v/>
      </c>
      <c r="DB19" t="str">
        <f t="shared" ca="1" si="79"/>
        <v/>
      </c>
      <c r="DC19" t="str">
        <f t="shared" ca="1" si="80"/>
        <v>+1</v>
      </c>
      <c r="DD19" t="str">
        <f t="shared" ca="1" si="81"/>
        <v>-1</v>
      </c>
      <c r="DE19" t="str">
        <f t="shared" ca="1" si="82"/>
        <v>-</v>
      </c>
      <c r="DF19" t="str">
        <f t="shared" ca="1" si="83"/>
        <v>-</v>
      </c>
      <c r="DH19">
        <f t="shared" ca="1" si="84"/>
        <v>0</v>
      </c>
      <c r="DI19">
        <f t="shared" ca="1" si="85"/>
        <v>0</v>
      </c>
      <c r="DJ19">
        <f t="shared" ca="1" si="86"/>
        <v>1</v>
      </c>
      <c r="DK19">
        <f t="shared" ca="1" si="87"/>
        <v>-1</v>
      </c>
      <c r="DL19">
        <f t="shared" ca="1" si="88"/>
        <v>0</v>
      </c>
      <c r="DM19">
        <f t="shared" ca="1" si="89"/>
        <v>0</v>
      </c>
      <c r="DO19" t="e">
        <f ca="1">RANK(BY19,BY$8:BY$27)+COUNTIF(BY19:BY$27,BY19)-1</f>
        <v>#VALUE!</v>
      </c>
      <c r="DP19" t="e">
        <f ca="1">RANK(BZ19,BZ$8:BZ$27)+COUNTIF(BZ19:BZ$27,BZ19)-1</f>
        <v>#VALUE!</v>
      </c>
      <c r="DQ19">
        <f ca="1">RANK(CA19,CA$8:CA$27)+COUNTIF(CA19:CA$27,CA19)-1</f>
        <v>2</v>
      </c>
      <c r="DR19">
        <f ca="1">RANK(CB19,CB$8:CB$27)+COUNTIF(CB19:CB$27,CB19)-1</f>
        <v>8</v>
      </c>
      <c r="DS19">
        <f ca="1">RANK(CC19,CC$8:CC$27)+COUNTIF(CC19:CC$27,CC19)-1</f>
        <v>9</v>
      </c>
      <c r="DT19">
        <f ca="1">RANK(CD19,CD$8:CD$27)+COUNTIF(CD19:CD$27,CD19)-1</f>
        <v>9</v>
      </c>
      <c r="DV19">
        <f t="shared" ca="1" si="90"/>
        <v>2</v>
      </c>
      <c r="DW19">
        <f t="shared" ca="1" si="37"/>
        <v>6</v>
      </c>
      <c r="DX19">
        <f t="shared" ca="1" si="37"/>
        <v>17</v>
      </c>
      <c r="DY19">
        <f t="shared" ca="1" si="37"/>
        <v>18</v>
      </c>
      <c r="DZ19">
        <f t="shared" ca="1" si="37"/>
        <v>5</v>
      </c>
      <c r="EA19">
        <f t="shared" ca="1" si="37"/>
        <v>9</v>
      </c>
      <c r="EC19" t="str">
        <f t="shared" ca="1" si="38"/>
        <v>Bolivia</v>
      </c>
      <c r="ED19" t="str">
        <f t="shared" ca="1" si="39"/>
        <v>El Salvador</v>
      </c>
      <c r="EE19" t="str">
        <f t="shared" ca="1" si="40"/>
        <v>Argentina</v>
      </c>
      <c r="EF19" t="str">
        <f t="shared" ca="1" si="41"/>
        <v>Uruguay</v>
      </c>
      <c r="EG19" t="str">
        <f t="shared" ca="1" si="42"/>
        <v>Brazil</v>
      </c>
      <c r="EH19" t="str">
        <f t="shared" ca="1" si="43"/>
        <v>Dominican Rep</v>
      </c>
      <c r="EJ19">
        <f t="shared" ca="1" si="44"/>
        <v>74.400000000000006</v>
      </c>
      <c r="EK19">
        <f t="shared" ca="1" si="45"/>
        <v>56.3</v>
      </c>
      <c r="EL19">
        <f t="shared" ca="1" si="46"/>
        <v>38.299999999999997</v>
      </c>
      <c r="EM19">
        <f t="shared" ca="1" si="47"/>
        <v>16.7</v>
      </c>
      <c r="EN19">
        <f t="shared" ca="1" si="48"/>
        <v>2</v>
      </c>
      <c r="EO19">
        <f t="shared" ca="1" si="49"/>
        <v>0.1038</v>
      </c>
      <c r="EQ19">
        <f t="shared" ca="1" si="91"/>
        <v>79.400000000000006</v>
      </c>
      <c r="ER19">
        <f t="shared" ca="1" si="50"/>
        <v>62.5</v>
      </c>
      <c r="ES19">
        <f t="shared" ca="1" si="50"/>
        <v>46.7</v>
      </c>
      <c r="ET19">
        <f t="shared" ca="1" si="50"/>
        <v>25</v>
      </c>
      <c r="EU19">
        <f t="shared" ca="1" si="50"/>
        <v>2</v>
      </c>
      <c r="EV19">
        <f t="shared" ca="1" si="50"/>
        <v>0.1038</v>
      </c>
      <c r="EX19" t="str">
        <f t="shared" ca="1" si="92"/>
        <v>-5.0</v>
      </c>
      <c r="EY19" t="str">
        <f t="shared" ca="1" si="51"/>
        <v>-6.2</v>
      </c>
      <c r="EZ19" t="str">
        <f t="shared" ca="1" si="51"/>
        <v>-8.4</v>
      </c>
      <c r="FA19" t="str">
        <f t="shared" ca="1" si="51"/>
        <v>-8.3</v>
      </c>
      <c r="FB19" t="str">
        <f t="shared" ca="1" si="51"/>
        <v>-</v>
      </c>
      <c r="FE19">
        <f t="shared" ca="1" si="93"/>
        <v>-1</v>
      </c>
      <c r="FF19">
        <f t="shared" ca="1" si="52"/>
        <v>-1</v>
      </c>
      <c r="FG19">
        <f t="shared" ca="1" si="52"/>
        <v>-1</v>
      </c>
      <c r="FH19">
        <f t="shared" ca="1" si="52"/>
        <v>-1</v>
      </c>
      <c r="FI19">
        <f t="shared" ca="1" si="52"/>
        <v>0</v>
      </c>
      <c r="FJ19">
        <f t="shared" ca="1" si="52"/>
        <v>0</v>
      </c>
      <c r="FL19" t="str">
        <f t="shared" ca="1" si="94"/>
        <v>-1</v>
      </c>
      <c r="FM19" t="str">
        <f t="shared" ca="1" si="53"/>
        <v>-2</v>
      </c>
      <c r="FN19" t="str">
        <f t="shared" ca="1" si="53"/>
        <v>-8</v>
      </c>
      <c r="FO19" t="str">
        <f t="shared" ca="1" si="53"/>
        <v>-4</v>
      </c>
      <c r="FP19" t="str">
        <f t="shared" ca="1" si="53"/>
        <v>-</v>
      </c>
      <c r="FQ19" t="str">
        <f t="shared" ca="1" si="53"/>
        <v>-</v>
      </c>
      <c r="FS19">
        <f t="shared" ca="1" si="95"/>
        <v>-1</v>
      </c>
      <c r="FT19">
        <f t="shared" ca="1" si="54"/>
        <v>-1</v>
      </c>
      <c r="FU19">
        <f t="shared" ca="1" si="54"/>
        <v>-1</v>
      </c>
      <c r="FV19">
        <f t="shared" ca="1" si="54"/>
        <v>-1</v>
      </c>
      <c r="FW19">
        <f t="shared" ca="1" si="54"/>
        <v>0</v>
      </c>
      <c r="FX19">
        <f t="shared" ca="1" si="54"/>
        <v>0</v>
      </c>
      <c r="FZ19">
        <f t="shared" ca="1" si="96"/>
        <v>14</v>
      </c>
    </row>
    <row r="20" spans="1:182">
      <c r="A20">
        <v>13</v>
      </c>
      <c r="B20">
        <f ca="1">uxb_countries!D15</f>
        <v>1</v>
      </c>
      <c r="C20" t="str">
        <f ca="1">uxb_countries!B15</f>
        <v>Jamaica</v>
      </c>
      <c r="D20" t="str">
        <f ca="1">uxb_countries!A15</f>
        <v>JM</v>
      </c>
      <c r="E20" s="4">
        <f ca="1">MATCH(D20,uxb_scores_2007!$J$2:$AC$2,0)</f>
        <v>13</v>
      </c>
      <c r="G20" s="3">
        <f ca="1">IF($B20=0,"",ROUND(OFFSET(uxb_scores_2008!$I$2,G$6,$E20),2))</f>
        <v>21.17</v>
      </c>
      <c r="H20" s="3">
        <f ca="1">IF($B20=0,"",ROUND(OFFSET(uxb_scores_2008!$I$2,H$6,$E20),2))</f>
        <v>25</v>
      </c>
      <c r="I20" s="3">
        <f ca="1">IF($B20=0,"",ROUND(OFFSET(uxb_scores_2008!$I$2,I$6,$E20),2))</f>
        <v>55.83</v>
      </c>
      <c r="J20" s="3">
        <f ca="1">IF($B20=0,"",ROUND(OFFSET(uxb_scores_2008!$I$2,J$6,$E20),2))</f>
        <v>0</v>
      </c>
      <c r="K20" s="3">
        <f ca="1">IF($B20=0,"",ROUND(OFFSET(uxb_scores_2008!$I$2,K$6,$E20),2))</f>
        <v>1</v>
      </c>
      <c r="L20">
        <f ca="1">IF($B20=0,"",ROUND(OFFSET(uxb_scores_2008!$I$2,L$6,$E20),4))</f>
        <v>0</v>
      </c>
      <c r="U20">
        <f ca="1">IF($B20=1,RANK(G20,G$8:G$30,$B$1)+COUNTIF(G$8:G20,G20)-1,"")</f>
        <v>20</v>
      </c>
      <c r="V20">
        <f ca="1">IF($B20=1,RANK(H20,H$8:H$30,$B$1)+COUNTIF(H$8:H20,H20)-1,"")</f>
        <v>18</v>
      </c>
      <c r="W20">
        <f ca="1">IF($B20=1,RANK(I20,I$8:I$30,$B$1)+COUNTIF(I$8:I20,I20)-1,"")</f>
        <v>6</v>
      </c>
      <c r="X20">
        <f ca="1">IF($B20=1,RANK(J20,J$8:J$30,$B$1)+COUNTIF(J$8:J20,J20)-1,"")</f>
        <v>20</v>
      </c>
      <c r="Y20">
        <f ca="1">IF($B20=1,RANK(K20,K$8:K$30,$B$1)+COUNTIF(K$8:K20,K20)-1,"")</f>
        <v>18</v>
      </c>
      <c r="Z20">
        <f ca="1">IF($B20=1,RANK(L20,L$8:L$30,$B$1)+COUNTIF(L$8:L20,L20)-1,"")</f>
        <v>19</v>
      </c>
      <c r="AB20">
        <f t="shared" ca="1" si="55"/>
        <v>4</v>
      </c>
      <c r="AC20">
        <f t="shared" ca="1" si="21"/>
        <v>3</v>
      </c>
      <c r="AD20">
        <f t="shared" ca="1" si="21"/>
        <v>20</v>
      </c>
      <c r="AE20">
        <f t="shared" ca="1" si="21"/>
        <v>4</v>
      </c>
      <c r="AF20">
        <f t="shared" ca="1" si="21"/>
        <v>1</v>
      </c>
      <c r="AG20">
        <f t="shared" ca="1" si="21"/>
        <v>20</v>
      </c>
      <c r="AI20" t="str">
        <f t="shared" ca="1" si="56"/>
        <v>Chile</v>
      </c>
      <c r="AJ20" t="str">
        <f t="shared" ca="1" si="22"/>
        <v>Brazil</v>
      </c>
      <c r="AK20" t="str">
        <f t="shared" ca="1" si="22"/>
        <v>Venezuela</v>
      </c>
      <c r="AL20" t="str">
        <f t="shared" ca="1" si="22"/>
        <v>Chile</v>
      </c>
      <c r="AM20" t="str">
        <f t="shared" ca="1" si="22"/>
        <v>Argentina</v>
      </c>
      <c r="AN20" t="str">
        <f t="shared" ca="1" si="22"/>
        <v>Venezuela</v>
      </c>
      <c r="AP20">
        <f t="shared" ca="1" si="57"/>
        <v>43.2</v>
      </c>
      <c r="AQ20">
        <f t="shared" ca="1" si="58"/>
        <v>43.8</v>
      </c>
      <c r="AR20">
        <f t="shared" ca="1" si="59"/>
        <v>41.4</v>
      </c>
      <c r="AS20">
        <f t="shared" ca="1" si="60"/>
        <v>33.299999999999997</v>
      </c>
      <c r="AT20">
        <f t="shared" ca="1" si="61"/>
        <v>1</v>
      </c>
      <c r="AU20" s="203">
        <f t="shared" ca="1" si="62"/>
        <v>1.38E-2</v>
      </c>
      <c r="AV20" s="203"/>
      <c r="AW20" s="206">
        <f t="shared" ca="1" si="63"/>
        <v>13</v>
      </c>
      <c r="AX20" s="206">
        <f t="shared" ca="1" si="23"/>
        <v>13</v>
      </c>
      <c r="AY20" s="206">
        <f t="shared" ca="1" si="23"/>
        <v>13</v>
      </c>
      <c r="AZ20" s="206">
        <f t="shared" ca="1" si="23"/>
        <v>11</v>
      </c>
      <c r="BA20" s="206">
        <f t="shared" ca="1" si="23"/>
        <v>13</v>
      </c>
      <c r="BB20" s="206">
        <f t="shared" ca="1" si="23"/>
        <v>13</v>
      </c>
      <c r="BC20" s="206"/>
      <c r="BD20" s="186">
        <f t="shared" ca="1" si="97"/>
        <v>13</v>
      </c>
      <c r="BE20" s="186" t="str">
        <f t="shared" ca="1" si="98"/>
        <v>=13</v>
      </c>
      <c r="BF20" s="186">
        <f t="shared" ca="1" si="98"/>
        <v>13</v>
      </c>
      <c r="BG20" s="186" t="str">
        <f t="shared" ca="1" si="98"/>
        <v>=11</v>
      </c>
      <c r="BH20" s="186" t="str">
        <f t="shared" ca="1" si="98"/>
        <v>=13</v>
      </c>
      <c r="BI20" s="186">
        <f t="shared" ca="1" si="98"/>
        <v>13</v>
      </c>
      <c r="BK20">
        <f ca="1">IF($B20=0,"",ROUND(OFFSET(uxb_scores_2007!$I$2,G$6,AB20),1))</f>
        <v>48.3</v>
      </c>
      <c r="BL20">
        <f ca="1">IF($B20=0,"",ROUND(OFFSET(uxb_scores_2007!$I$2,H$6,AC20),1))</f>
        <v>43.8</v>
      </c>
      <c r="BM20">
        <f ca="1">IF($B20=0,"",ROUND(OFFSET(uxb_scores_2007!$I$2,I$6,AD20),1))</f>
        <v>41.3</v>
      </c>
      <c r="BN20">
        <f ca="1">IF($B20=0,"",ROUND(OFFSET(uxb_scores_2007!$I$2,J$6,AE20),1))</f>
        <v>33.299999999999997</v>
      </c>
      <c r="BO20">
        <f ca="1">IF($B20=0,"",ROUND(OFFSET(uxb_scores_2007!$I$2,K$6,AF20),1))</f>
        <v>1</v>
      </c>
      <c r="BP20" s="203">
        <f ca="1">IF($B20=0,"",ROUND(OFFSET(uxb_scores_2007!$I$2,L$6,AG20),4))</f>
        <v>1.38E-2</v>
      </c>
      <c r="BR20">
        <f t="shared" ca="1" si="64"/>
        <v>8</v>
      </c>
      <c r="BS20">
        <f t="shared" ca="1" si="65"/>
        <v>12</v>
      </c>
      <c r="BT20">
        <f t="shared" ca="1" si="66"/>
        <v>10</v>
      </c>
      <c r="BU20">
        <f t="shared" ca="1" si="67"/>
        <v>10</v>
      </c>
      <c r="BV20">
        <f t="shared" ca="1" si="68"/>
        <v>10</v>
      </c>
      <c r="BW20">
        <f t="shared" ca="1" si="69"/>
        <v>13</v>
      </c>
      <c r="BY20">
        <f t="shared" ca="1" si="26"/>
        <v>-5.0999999999999996</v>
      </c>
      <c r="BZ20">
        <f t="shared" ca="1" si="27"/>
        <v>0</v>
      </c>
      <c r="CA20">
        <f t="shared" ca="1" si="28"/>
        <v>0.1</v>
      </c>
      <c r="CB20">
        <f t="shared" ca="1" si="29"/>
        <v>0</v>
      </c>
      <c r="CC20">
        <f t="shared" ca="1" si="30"/>
        <v>0</v>
      </c>
      <c r="CD20">
        <f t="shared" ca="1" si="31"/>
        <v>0</v>
      </c>
      <c r="CF20" s="206">
        <f t="shared" ca="1" si="70"/>
        <v>-5</v>
      </c>
      <c r="CG20" s="206">
        <f t="shared" ca="1" si="71"/>
        <v>-1</v>
      </c>
      <c r="CH20" s="206">
        <f t="shared" ca="1" si="72"/>
        <v>-3</v>
      </c>
      <c r="CI20" s="206">
        <f t="shared" ca="1" si="73"/>
        <v>-1</v>
      </c>
      <c r="CJ20" s="206">
        <f t="shared" ca="1" si="74"/>
        <v>-3</v>
      </c>
      <c r="CK20" s="206">
        <f t="shared" ca="1" si="75"/>
        <v>0</v>
      </c>
      <c r="CM20" t="str">
        <f t="shared" ca="1" si="76"/>
        <v>-5.1</v>
      </c>
      <c r="CN20" t="str">
        <f t="shared" ca="1" si="33"/>
        <v>-</v>
      </c>
      <c r="CO20" t="str">
        <f t="shared" ca="1" si="33"/>
        <v>+0.1</v>
      </c>
      <c r="CP20" t="str">
        <f t="shared" ca="1" si="33"/>
        <v>-</v>
      </c>
      <c r="CQ20" t="str">
        <f t="shared" ca="1" si="33"/>
        <v>-</v>
      </c>
      <c r="CR20" t="str">
        <f t="shared" ca="1" si="33"/>
        <v>-</v>
      </c>
      <c r="CT20">
        <f t="shared" ca="1" si="77"/>
        <v>-1</v>
      </c>
      <c r="CU20">
        <f t="shared" ca="1" si="34"/>
        <v>0</v>
      </c>
      <c r="CV20">
        <f t="shared" ca="1" si="34"/>
        <v>1</v>
      </c>
      <c r="CW20">
        <f t="shared" ca="1" si="34"/>
        <v>0</v>
      </c>
      <c r="CX20">
        <f t="shared" ca="1" si="34"/>
        <v>0</v>
      </c>
      <c r="CY20">
        <f t="shared" ca="1" si="34"/>
        <v>0</v>
      </c>
      <c r="DA20" t="str">
        <f t="shared" ca="1" si="78"/>
        <v>-5</v>
      </c>
      <c r="DB20" t="str">
        <f t="shared" ca="1" si="79"/>
        <v>-1</v>
      </c>
      <c r="DC20" t="str">
        <f t="shared" ca="1" si="80"/>
        <v>-3</v>
      </c>
      <c r="DD20" t="str">
        <f t="shared" ca="1" si="81"/>
        <v>-1</v>
      </c>
      <c r="DE20" t="str">
        <f t="shared" ca="1" si="82"/>
        <v>-3</v>
      </c>
      <c r="DF20" t="str">
        <f t="shared" ca="1" si="83"/>
        <v>-</v>
      </c>
      <c r="DH20">
        <f t="shared" ca="1" si="84"/>
        <v>-1</v>
      </c>
      <c r="DI20">
        <f t="shared" ca="1" si="85"/>
        <v>-1</v>
      </c>
      <c r="DJ20">
        <f t="shared" ca="1" si="86"/>
        <v>-1</v>
      </c>
      <c r="DK20">
        <f t="shared" ca="1" si="87"/>
        <v>-1</v>
      </c>
      <c r="DL20">
        <f t="shared" ca="1" si="88"/>
        <v>-1</v>
      </c>
      <c r="DM20">
        <f t="shared" ca="1" si="89"/>
        <v>0</v>
      </c>
      <c r="DO20">
        <f ca="1">RANK(BY20,BY$8:BY$27)+COUNTIF(BY20:BY$27,BY20)-1</f>
        <v>13</v>
      </c>
      <c r="DP20">
        <f ca="1">RANK(BZ20,BZ$8:BZ$27)+COUNTIF(BZ20:BZ$27,BZ20)-1</f>
        <v>5</v>
      </c>
      <c r="DQ20">
        <f ca="1">RANK(CA20,CA$8:CA$27)+COUNTIF(CA20:CA$27,CA20)-1</f>
        <v>5</v>
      </c>
      <c r="DR20">
        <f ca="1">RANK(CB20,CB$8:CB$27)+COUNTIF(CB20:CB$27,CB20)-1</f>
        <v>7</v>
      </c>
      <c r="DS20">
        <f ca="1">RANK(CC20,CC$8:CC$27)+COUNTIF(CC20:CC$27,CC20)-1</f>
        <v>8</v>
      </c>
      <c r="DT20">
        <f ca="1">RANK(CD20,CD$8:CD$27)+COUNTIF(CD20:CD$27,CD20)-1</f>
        <v>8</v>
      </c>
      <c r="DV20">
        <f t="shared" ca="1" si="90"/>
        <v>13</v>
      </c>
      <c r="DW20">
        <f t="shared" ca="1" si="37"/>
        <v>19</v>
      </c>
      <c r="DX20">
        <f t="shared" ca="1" si="37"/>
        <v>11</v>
      </c>
      <c r="DY20">
        <f t="shared" ca="1" si="37"/>
        <v>10</v>
      </c>
      <c r="DZ20">
        <f t="shared" ca="1" si="37"/>
        <v>3</v>
      </c>
      <c r="EA20">
        <f t="shared" ca="1" si="37"/>
        <v>8</v>
      </c>
      <c r="EC20" t="str">
        <f t="shared" ca="1" si="38"/>
        <v>Chile</v>
      </c>
      <c r="ED20" t="str">
        <f t="shared" ca="1" si="39"/>
        <v>Venezuela</v>
      </c>
      <c r="EE20" t="str">
        <f t="shared" ca="1" si="40"/>
        <v>Uruguay</v>
      </c>
      <c r="EF20" t="str">
        <f t="shared" ca="1" si="41"/>
        <v>Paraguay</v>
      </c>
      <c r="EG20" t="str">
        <f t="shared" ca="1" si="42"/>
        <v>Ecuador</v>
      </c>
      <c r="EH20" t="str">
        <f t="shared" ca="1" si="43"/>
        <v>Mexico</v>
      </c>
      <c r="EJ20">
        <f t="shared" ca="1" si="44"/>
        <v>43.2</v>
      </c>
      <c r="EK20">
        <f t="shared" ca="1" si="45"/>
        <v>25</v>
      </c>
      <c r="EL20">
        <f t="shared" ca="1" si="46"/>
        <v>45.8</v>
      </c>
      <c r="EM20">
        <f t="shared" ca="1" si="47"/>
        <v>41.7</v>
      </c>
      <c r="EN20">
        <f t="shared" ca="1" si="48"/>
        <v>3</v>
      </c>
      <c r="EO20">
        <f t="shared" ca="1" si="49"/>
        <v>0.1172</v>
      </c>
      <c r="EQ20">
        <f t="shared" ca="1" si="91"/>
        <v>48.3</v>
      </c>
      <c r="ER20">
        <f t="shared" ca="1" si="50"/>
        <v>31.3</v>
      </c>
      <c r="ES20">
        <f t="shared" ca="1" si="50"/>
        <v>54.2</v>
      </c>
      <c r="ET20">
        <f t="shared" ca="1" si="50"/>
        <v>50</v>
      </c>
      <c r="EU20">
        <f t="shared" ca="1" si="50"/>
        <v>3</v>
      </c>
      <c r="EV20">
        <f t="shared" ca="1" si="50"/>
        <v>0.1172</v>
      </c>
      <c r="EX20" t="str">
        <f t="shared" ca="1" si="92"/>
        <v>-5.1</v>
      </c>
      <c r="EY20" t="str">
        <f t="shared" ca="1" si="51"/>
        <v>-6.3</v>
      </c>
      <c r="EZ20" t="str">
        <f t="shared" ca="1" si="51"/>
        <v>-8.4</v>
      </c>
      <c r="FA20" t="str">
        <f t="shared" ca="1" si="51"/>
        <v>-8.3</v>
      </c>
      <c r="FB20" t="str">
        <f t="shared" ca="1" si="51"/>
        <v>-</v>
      </c>
      <c r="FE20">
        <f t="shared" ca="1" si="93"/>
        <v>-1</v>
      </c>
      <c r="FF20">
        <f t="shared" ca="1" si="52"/>
        <v>-1</v>
      </c>
      <c r="FG20">
        <f t="shared" ca="1" si="52"/>
        <v>-1</v>
      </c>
      <c r="FH20">
        <f t="shared" ca="1" si="52"/>
        <v>-1</v>
      </c>
      <c r="FI20">
        <f t="shared" ca="1" si="52"/>
        <v>0</v>
      </c>
      <c r="FJ20">
        <f t="shared" ca="1" si="52"/>
        <v>0</v>
      </c>
      <c r="FL20" t="str">
        <f t="shared" ca="1" si="94"/>
        <v>-5</v>
      </c>
      <c r="FM20" t="str">
        <f t="shared" ca="1" si="53"/>
        <v>-4</v>
      </c>
      <c r="FN20" t="str">
        <f t="shared" ca="1" si="53"/>
        <v>-6</v>
      </c>
      <c r="FO20" t="str">
        <f t="shared" ca="1" si="53"/>
        <v>-3</v>
      </c>
      <c r="FP20" t="str">
        <f t="shared" ca="1" si="53"/>
        <v>-</v>
      </c>
      <c r="FQ20" t="str">
        <f t="shared" ca="1" si="53"/>
        <v>-</v>
      </c>
      <c r="FS20">
        <f t="shared" ca="1" si="95"/>
        <v>-1</v>
      </c>
      <c r="FT20">
        <f t="shared" ca="1" si="54"/>
        <v>-1</v>
      </c>
      <c r="FU20">
        <f t="shared" ca="1" si="54"/>
        <v>-1</v>
      </c>
      <c r="FV20">
        <f t="shared" ca="1" si="54"/>
        <v>-1</v>
      </c>
      <c r="FW20">
        <f t="shared" ca="1" si="54"/>
        <v>0</v>
      </c>
      <c r="FX20">
        <f t="shared" ca="1" si="54"/>
        <v>0</v>
      </c>
      <c r="FZ20">
        <f t="shared" ca="1" si="96"/>
        <v>-3</v>
      </c>
    </row>
    <row r="21" spans="1:182">
      <c r="A21">
        <v>14</v>
      </c>
      <c r="B21">
        <f ca="1">uxb_countries!D16</f>
        <v>1</v>
      </c>
      <c r="C21" t="str">
        <f ca="1">uxb_countries!B16</f>
        <v>Mexico</v>
      </c>
      <c r="D21" t="str">
        <f ca="1">uxb_countries!A16</f>
        <v>MX</v>
      </c>
      <c r="E21" s="4">
        <f ca="1">MATCH(D21,uxb_scores_2007!$J$2:$AC$2,0)</f>
        <v>14</v>
      </c>
      <c r="G21" s="3">
        <f ca="1">IF($B21=0,"",ROUND(OFFSET(uxb_scores_2008!$I$2,G$6,$E21),2))</f>
        <v>47.5</v>
      </c>
      <c r="H21" s="3">
        <f ca="1">IF($B21=0,"",ROUND(OFFSET(uxb_scores_2008!$I$2,H$6,$E21),2))</f>
        <v>56.25</v>
      </c>
      <c r="I21" s="3">
        <f ca="1">IF($B21=0,"",ROUND(OFFSET(uxb_scores_2008!$I$2,I$6,$E21),2))</f>
        <v>58.33</v>
      </c>
      <c r="J21" s="3">
        <f ca="1">IF($B21=0,"",ROUND(OFFSET(uxb_scores_2008!$I$2,J$6,$E21),2))</f>
        <v>33.33</v>
      </c>
      <c r="K21" s="3">
        <f ca="1">IF($B21=0,"",ROUND(OFFSET(uxb_scores_2008!$I$2,K$6,$E21),2))</f>
        <v>3</v>
      </c>
      <c r="L21">
        <f ca="1">IF($B21=0,"",ROUND(OFFSET(uxb_scores_2008!$I$2,L$6,$E21),4))</f>
        <v>0.1172</v>
      </c>
      <c r="U21">
        <f ca="1">IF($B21=1,RANK(G21,G$8:G$30,$B$1)+COUNTIF(G$8:G21,G21)-1,"")</f>
        <v>10</v>
      </c>
      <c r="V21">
        <f ca="1">IF($B21=1,RANK(H21,H$8:H$30,$B$1)+COUNTIF(H$8:H21,H21)-1,"")</f>
        <v>8</v>
      </c>
      <c r="W21">
        <f ca="1">IF($B21=1,RANK(I21,I$8:I$30,$B$1)+COUNTIF(I$8:I21,I21)-1,"")</f>
        <v>3</v>
      </c>
      <c r="X21">
        <f ca="1">IF($B21=1,RANK(J21,J$8:J$30,$B$1)+COUNTIF(J$8:J21,J21)-1,"")</f>
        <v>15</v>
      </c>
      <c r="Y21">
        <f ca="1">IF($B21=1,RANK(K21,K$8:K$30,$B$1)+COUNTIF(K$8:K21,K21)-1,"")</f>
        <v>4</v>
      </c>
      <c r="Z21">
        <f ca="1">IF($B21=1,RANK(L21,L$8:L$30,$B$1)+COUNTIF(L$8:L21,L21)-1,"")</f>
        <v>8</v>
      </c>
      <c r="AB21">
        <f t="shared" ca="1" si="55"/>
        <v>3</v>
      </c>
      <c r="AC21">
        <f t="shared" ca="1" si="21"/>
        <v>11</v>
      </c>
      <c r="AD21">
        <f t="shared" ca="1" si="21"/>
        <v>10</v>
      </c>
      <c r="AE21">
        <f t="shared" ca="1" si="21"/>
        <v>6</v>
      </c>
      <c r="AF21">
        <f t="shared" ca="1" si="21"/>
        <v>4</v>
      </c>
      <c r="AG21">
        <f t="shared" ca="1" si="21"/>
        <v>3</v>
      </c>
      <c r="AI21" t="str">
        <f t="shared" ca="1" si="56"/>
        <v>Brazil</v>
      </c>
      <c r="AJ21" t="str">
        <f t="shared" ca="1" si="22"/>
        <v>Haiti</v>
      </c>
      <c r="AK21" t="str">
        <f t="shared" ca="1" si="22"/>
        <v>Guatemala</v>
      </c>
      <c r="AL21" t="str">
        <f t="shared" ca="1" si="22"/>
        <v>Costa Rica</v>
      </c>
      <c r="AM21" t="str">
        <f t="shared" ca="1" si="22"/>
        <v>Chile</v>
      </c>
      <c r="AN21" t="str">
        <f t="shared" ca="1" si="22"/>
        <v>Brazil</v>
      </c>
      <c r="AP21">
        <f t="shared" ca="1" si="57"/>
        <v>41.6</v>
      </c>
      <c r="AQ21">
        <f t="shared" ca="1" si="58"/>
        <v>43.8</v>
      </c>
      <c r="AR21">
        <f t="shared" ca="1" si="59"/>
        <v>40.799999999999997</v>
      </c>
      <c r="AS21">
        <f t="shared" ca="1" si="60"/>
        <v>33.299999999999997</v>
      </c>
      <c r="AT21">
        <f t="shared" ca="1" si="61"/>
        <v>1</v>
      </c>
      <c r="AU21" s="203">
        <f t="shared" ca="1" si="62"/>
        <v>1.29E-2</v>
      </c>
      <c r="AV21" s="203"/>
      <c r="AW21" s="206">
        <f t="shared" ca="1" si="63"/>
        <v>14</v>
      </c>
      <c r="AX21" s="206">
        <f t="shared" ca="1" si="23"/>
        <v>13</v>
      </c>
      <c r="AY21" s="206">
        <f t="shared" ca="1" si="23"/>
        <v>14</v>
      </c>
      <c r="AZ21" s="206">
        <f t="shared" ca="1" si="23"/>
        <v>11</v>
      </c>
      <c r="BA21" s="206">
        <f t="shared" ca="1" si="23"/>
        <v>13</v>
      </c>
      <c r="BB21" s="206">
        <f t="shared" ca="1" si="23"/>
        <v>14</v>
      </c>
      <c r="BC21" s="206"/>
      <c r="BD21" s="186">
        <f t="shared" ca="1" si="97"/>
        <v>14</v>
      </c>
      <c r="BE21" s="186" t="str">
        <f t="shared" ca="1" si="98"/>
        <v>=13</v>
      </c>
      <c r="BF21" s="186">
        <f t="shared" ca="1" si="98"/>
        <v>14</v>
      </c>
      <c r="BG21" s="186" t="str">
        <f t="shared" ca="1" si="98"/>
        <v>=11</v>
      </c>
      <c r="BH21" s="186" t="str">
        <f t="shared" ca="1" si="98"/>
        <v>=13</v>
      </c>
      <c r="BI21" s="186">
        <f t="shared" ca="1" si="98"/>
        <v>14</v>
      </c>
      <c r="BK21">
        <f ca="1">IF($B21=0,"",ROUND(OFFSET(uxb_scores_2007!$I$2,G$6,AB21),1))</f>
        <v>43.3</v>
      </c>
      <c r="BL21">
        <f ca="1">IF($B21=0,"",ROUND(OFFSET(uxb_scores_2007!$I$2,H$6,AC21),1))</f>
        <v>-1</v>
      </c>
      <c r="BM21">
        <f ca="1">IF($B21=0,"",ROUND(OFFSET(uxb_scores_2007!$I$2,I$6,AD21),1))</f>
        <v>40.799999999999997</v>
      </c>
      <c r="BN21">
        <f ca="1">IF($B21=0,"",ROUND(OFFSET(uxb_scores_2007!$I$2,J$6,AE21),1))</f>
        <v>-1</v>
      </c>
      <c r="BO21">
        <f ca="1">IF($B21=0,"",ROUND(OFFSET(uxb_scores_2007!$I$2,K$6,AF21),1))</f>
        <v>1</v>
      </c>
      <c r="BP21" s="203">
        <f ca="1">IF($B21=0,"",ROUND(OFFSET(uxb_scores_2007!$I$2,L$6,AG21),4))</f>
        <v>1.29E-2</v>
      </c>
      <c r="BR21">
        <f t="shared" ca="1" si="64"/>
        <v>12</v>
      </c>
      <c r="BS21">
        <f t="shared" ca="1" si="65"/>
        <v>16</v>
      </c>
      <c r="BT21">
        <f t="shared" ca="1" si="66"/>
        <v>12</v>
      </c>
      <c r="BU21">
        <f t="shared" ca="1" si="67"/>
        <v>16</v>
      </c>
      <c r="BV21">
        <f t="shared" ca="1" si="68"/>
        <v>10</v>
      </c>
      <c r="BW21">
        <f t="shared" ca="1" si="69"/>
        <v>14</v>
      </c>
      <c r="BY21">
        <f t="shared" ca="1" si="26"/>
        <v>-1.7</v>
      </c>
      <c r="BZ21" t="str">
        <f t="shared" ca="1" si="27"/>
        <v>new</v>
      </c>
      <c r="CA21">
        <f t="shared" ca="1" si="28"/>
        <v>0</v>
      </c>
      <c r="CB21" t="str">
        <f t="shared" ca="1" si="29"/>
        <v>new</v>
      </c>
      <c r="CC21">
        <f t="shared" ca="1" si="30"/>
        <v>0</v>
      </c>
      <c r="CD21">
        <f t="shared" ca="1" si="31"/>
        <v>0</v>
      </c>
      <c r="CF21" s="206">
        <f t="shared" ca="1" si="70"/>
        <v>-2</v>
      </c>
      <c r="CG21" s="206">
        <f t="shared" ca="1" si="71"/>
        <v>3</v>
      </c>
      <c r="CH21" s="206">
        <f t="shared" ca="1" si="72"/>
        <v>-2</v>
      </c>
      <c r="CI21" s="206">
        <f t="shared" ca="1" si="73"/>
        <v>5</v>
      </c>
      <c r="CJ21" s="206">
        <f t="shared" ca="1" si="74"/>
        <v>-3</v>
      </c>
      <c r="CK21" s="206">
        <f t="shared" ca="1" si="75"/>
        <v>0</v>
      </c>
      <c r="CM21" t="str">
        <f t="shared" ca="1" si="76"/>
        <v>-1.7</v>
      </c>
      <c r="CN21" t="str">
        <f t="shared" ca="1" si="33"/>
        <v>new</v>
      </c>
      <c r="CO21" t="str">
        <f t="shared" ca="1" si="33"/>
        <v>-</v>
      </c>
      <c r="CP21" t="str">
        <f t="shared" ca="1" si="33"/>
        <v>new</v>
      </c>
      <c r="CQ21" t="str">
        <f t="shared" ca="1" si="33"/>
        <v>-</v>
      </c>
      <c r="CR21" t="str">
        <f t="shared" ca="1" si="33"/>
        <v>-</v>
      </c>
      <c r="CT21">
        <f t="shared" ca="1" si="77"/>
        <v>-1</v>
      </c>
      <c r="CU21">
        <f t="shared" ca="1" si="34"/>
        <v>0</v>
      </c>
      <c r="CV21">
        <f t="shared" ca="1" si="34"/>
        <v>0</v>
      </c>
      <c r="CW21">
        <f t="shared" ca="1" si="34"/>
        <v>0</v>
      </c>
      <c r="CX21">
        <f t="shared" ca="1" si="34"/>
        <v>0</v>
      </c>
      <c r="CY21">
        <f t="shared" ca="1" si="34"/>
        <v>0</v>
      </c>
      <c r="DA21" t="str">
        <f t="shared" ca="1" si="78"/>
        <v>-2</v>
      </c>
      <c r="DB21" t="str">
        <f t="shared" ca="1" si="79"/>
        <v/>
      </c>
      <c r="DC21" t="str">
        <f t="shared" ca="1" si="80"/>
        <v>-2</v>
      </c>
      <c r="DD21" t="str">
        <f t="shared" ca="1" si="81"/>
        <v/>
      </c>
      <c r="DE21" t="str">
        <f t="shared" ca="1" si="82"/>
        <v>-3</v>
      </c>
      <c r="DF21" t="str">
        <f t="shared" ca="1" si="83"/>
        <v>-</v>
      </c>
      <c r="DH21">
        <f t="shared" ca="1" si="84"/>
        <v>-1</v>
      </c>
      <c r="DI21">
        <f t="shared" ca="1" si="85"/>
        <v>0</v>
      </c>
      <c r="DJ21">
        <f t="shared" ca="1" si="86"/>
        <v>-1</v>
      </c>
      <c r="DK21">
        <f t="shared" ca="1" si="87"/>
        <v>0</v>
      </c>
      <c r="DL21">
        <f t="shared" ca="1" si="88"/>
        <v>-1</v>
      </c>
      <c r="DM21">
        <f t="shared" ca="1" si="89"/>
        <v>0</v>
      </c>
      <c r="DO21">
        <f ca="1">RANK(BY21,BY$8:BY$27)+COUNTIF(BY21:BY$27,BY21)-1</f>
        <v>8</v>
      </c>
      <c r="DP21" t="e">
        <f ca="1">RANK(BZ21,BZ$8:BZ$27)+COUNTIF(BZ21:BZ$27,BZ21)-1</f>
        <v>#VALUE!</v>
      </c>
      <c r="DQ21">
        <f ca="1">RANK(CA21,CA$8:CA$27)+COUNTIF(CA21:CA$27,CA21)-1</f>
        <v>7</v>
      </c>
      <c r="DR21" t="e">
        <f ca="1">RANK(CB21,CB$8:CB$27)+COUNTIF(CB21:CB$27,CB21)-1</f>
        <v>#VALUE!</v>
      </c>
      <c r="DS21">
        <f ca="1">RANK(CC21,CC$8:CC$27)+COUNTIF(CC21:CC$27,CC21)-1</f>
        <v>7</v>
      </c>
      <c r="DT21">
        <f ca="1">RANK(CD21,CD$8:CD$27)+COUNTIF(CD21:CD$27,CD21)-1</f>
        <v>7</v>
      </c>
      <c r="DV21">
        <f t="shared" ca="1" si="90"/>
        <v>18</v>
      </c>
      <c r="DW21">
        <f t="shared" ca="1" si="37"/>
        <v>15</v>
      </c>
      <c r="DX21">
        <f t="shared" ca="1" si="37"/>
        <v>7</v>
      </c>
      <c r="DY21">
        <f t="shared" ca="1" si="37"/>
        <v>15</v>
      </c>
      <c r="DZ21">
        <f t="shared" ca="1" si="37"/>
        <v>8</v>
      </c>
      <c r="EA21">
        <f t="shared" ca="1" si="37"/>
        <v>7</v>
      </c>
      <c r="EC21" t="str">
        <f t="shared" ca="1" si="38"/>
        <v>Uruguay</v>
      </c>
      <c r="ED21" t="str">
        <f t="shared" ca="1" si="39"/>
        <v>Chile</v>
      </c>
      <c r="EE21" t="str">
        <f t="shared" ca="1" si="40"/>
        <v>Brazil</v>
      </c>
      <c r="EF21" t="str">
        <f t="shared" ca="1" si="41"/>
        <v>Mexico</v>
      </c>
      <c r="EG21" t="str">
        <f t="shared" ca="1" si="42"/>
        <v>El Salvador</v>
      </c>
      <c r="EH21" t="str">
        <f t="shared" ca="1" si="43"/>
        <v>El Salvador</v>
      </c>
      <c r="EJ21">
        <f t="shared" ca="1" si="44"/>
        <v>28.3</v>
      </c>
      <c r="EK21">
        <f t="shared" ca="1" si="45"/>
        <v>37.5</v>
      </c>
      <c r="EL21">
        <f t="shared" ca="1" si="46"/>
        <v>53.6</v>
      </c>
      <c r="EM21">
        <f t="shared" ca="1" si="47"/>
        <v>33.299999999999997</v>
      </c>
      <c r="EN21">
        <f t="shared" ca="1" si="48"/>
        <v>2</v>
      </c>
      <c r="EO21">
        <f t="shared" ca="1" si="49"/>
        <v>0.16200000000000001</v>
      </c>
      <c r="EQ21">
        <f t="shared" ca="1" si="91"/>
        <v>35.799999999999997</v>
      </c>
      <c r="ER21">
        <f t="shared" ca="1" si="50"/>
        <v>50</v>
      </c>
      <c r="ES21">
        <f t="shared" ca="1" si="50"/>
        <v>62.1</v>
      </c>
      <c r="ET21">
        <f t="shared" ca="1" si="50"/>
        <v>41.7</v>
      </c>
      <c r="EU21">
        <f t="shared" ca="1" si="50"/>
        <v>3</v>
      </c>
      <c r="EV21">
        <f t="shared" ca="1" si="50"/>
        <v>0.16200000000000001</v>
      </c>
      <c r="EX21" t="str">
        <f t="shared" ca="1" si="92"/>
        <v>-7.5</v>
      </c>
      <c r="EY21" t="str">
        <f t="shared" ca="1" si="51"/>
        <v>-12.5</v>
      </c>
      <c r="EZ21" t="str">
        <f t="shared" ca="1" si="51"/>
        <v>-8.5</v>
      </c>
      <c r="FA21" t="str">
        <f t="shared" ca="1" si="51"/>
        <v>-8.4</v>
      </c>
      <c r="FB21" t="str">
        <f t="shared" ca="1" si="51"/>
        <v>-1.0</v>
      </c>
      <c r="FE21">
        <f t="shared" ca="1" si="93"/>
        <v>-1</v>
      </c>
      <c r="FF21">
        <f t="shared" ca="1" si="52"/>
        <v>-1</v>
      </c>
      <c r="FG21">
        <f t="shared" ca="1" si="52"/>
        <v>-1</v>
      </c>
      <c r="FH21">
        <f t="shared" ca="1" si="52"/>
        <v>-1</v>
      </c>
      <c r="FI21">
        <f t="shared" ca="1" si="52"/>
        <v>-1</v>
      </c>
      <c r="FJ21">
        <f t="shared" ca="1" si="52"/>
        <v>0</v>
      </c>
      <c r="FL21" t="str">
        <f t="shared" ca="1" si="94"/>
        <v>-5</v>
      </c>
      <c r="FM21" t="str">
        <f t="shared" ca="1" si="53"/>
        <v>-7</v>
      </c>
      <c r="FN21" t="str">
        <f t="shared" ca="1" si="53"/>
        <v>-5</v>
      </c>
      <c r="FO21" t="str">
        <f t="shared" ca="1" si="53"/>
        <v>-3</v>
      </c>
      <c r="FP21" t="str">
        <f t="shared" ca="1" si="53"/>
        <v>-3</v>
      </c>
      <c r="FQ21" t="str">
        <f t="shared" ca="1" si="53"/>
        <v>-</v>
      </c>
      <c r="FS21">
        <f t="shared" ca="1" si="95"/>
        <v>-1</v>
      </c>
      <c r="FT21">
        <f t="shared" ca="1" si="54"/>
        <v>-1</v>
      </c>
      <c r="FU21">
        <f t="shared" ca="1" si="54"/>
        <v>-1</v>
      </c>
      <c r="FV21">
        <f t="shared" ca="1" si="54"/>
        <v>-1</v>
      </c>
      <c r="FW21">
        <f t="shared" ca="1" si="54"/>
        <v>-1</v>
      </c>
      <c r="FX21">
        <f t="shared" ca="1" si="54"/>
        <v>0</v>
      </c>
      <c r="FZ21">
        <f t="shared" ca="1" si="96"/>
        <v>-2</v>
      </c>
    </row>
    <row r="22" spans="1:182">
      <c r="A22">
        <v>15</v>
      </c>
      <c r="B22">
        <f ca="1">uxb_countries!D17</f>
        <v>1</v>
      </c>
      <c r="C22" t="str">
        <f ca="1">uxb_countries!B17</f>
        <v>Nicaragua</v>
      </c>
      <c r="D22" t="str">
        <f ca="1">uxb_countries!A17</f>
        <v>NI</v>
      </c>
      <c r="E22" s="4">
        <f ca="1">MATCH(D22,uxb_scores_2007!$J$2:$AC$2,0)</f>
        <v>15</v>
      </c>
      <c r="G22" s="3">
        <f ca="1">IF($B22=0,"",ROUND(OFFSET(uxb_scores_2008!$I$2,G$6,$E22),2))</f>
        <v>58</v>
      </c>
      <c r="H22" s="3">
        <f ca="1">IF($B22=0,"",ROUND(OFFSET(uxb_scores_2008!$I$2,H$6,$E22),2))</f>
        <v>56.25</v>
      </c>
      <c r="I22" s="3">
        <f ca="1">IF($B22=0,"",ROUND(OFFSET(uxb_scores_2008!$I$2,I$6,$E22),2))</f>
        <v>44.17</v>
      </c>
      <c r="J22" s="3">
        <f ca="1">IF($B22=0,"",ROUND(OFFSET(uxb_scores_2008!$I$2,J$6,$E22),2))</f>
        <v>66.67</v>
      </c>
      <c r="K22" s="3">
        <f ca="1">IF($B22=0,"",ROUND(OFFSET(uxb_scores_2008!$I$2,K$6,$E22),2))</f>
        <v>2</v>
      </c>
      <c r="L22">
        <f ca="1">IF($B22=0,"",ROUND(OFFSET(uxb_scores_2008!$I$2,L$6,$E22),4))</f>
        <v>0.58350000000000002</v>
      </c>
      <c r="U22">
        <f ca="1">IF($B22=1,RANK(G22,G$8:G$30,$B$1)+COUNTIF(G$8:G22,G22)-1,"")</f>
        <v>6</v>
      </c>
      <c r="V22">
        <f ca="1">IF($B22=1,RANK(H22,H$8:H$30,$B$1)+COUNTIF(H$8:H22,H22)-1,"")</f>
        <v>9</v>
      </c>
      <c r="W22">
        <f ca="1">IF($B22=1,RANK(I22,I$8:I$30,$B$1)+COUNTIF(I$8:I22,I22)-1,"")</f>
        <v>12</v>
      </c>
      <c r="X22">
        <f ca="1">IF($B22=1,RANK(J22,J$8:J$30,$B$1)+COUNTIF(J$8:J22,J22)-1,"")</f>
        <v>5</v>
      </c>
      <c r="Y22">
        <f ca="1">IF($B22=1,RANK(K22,K$8:K$30,$B$1)+COUNTIF(K$8:K22,K22)-1,"")</f>
        <v>10</v>
      </c>
      <c r="Z22">
        <f ca="1">IF($B22=1,RANK(L22,L$8:L$30,$B$1)+COUNTIF(L$8:L22,L22)-1,"")</f>
        <v>1</v>
      </c>
      <c r="AB22">
        <f t="shared" ca="1" si="55"/>
        <v>6</v>
      </c>
      <c r="AC22">
        <f t="shared" ca="1" si="21"/>
        <v>4</v>
      </c>
      <c r="AD22">
        <f t="shared" ca="1" si="21"/>
        <v>7</v>
      </c>
      <c r="AE22">
        <f t="shared" ca="1" si="21"/>
        <v>14</v>
      </c>
      <c r="AF22">
        <f t="shared" ca="1" si="21"/>
        <v>6</v>
      </c>
      <c r="AG22">
        <f t="shared" ca="1" si="21"/>
        <v>1</v>
      </c>
      <c r="AI22" t="str">
        <f t="shared" ca="1" si="56"/>
        <v>Costa Rica</v>
      </c>
      <c r="AJ22" t="str">
        <f t="shared" ca="1" si="22"/>
        <v>Chile</v>
      </c>
      <c r="AK22" t="str">
        <f t="shared" ca="1" si="22"/>
        <v>Dominican Rep</v>
      </c>
      <c r="AL22" t="str">
        <f t="shared" ca="1" si="22"/>
        <v>Mexico</v>
      </c>
      <c r="AM22" t="str">
        <f t="shared" ca="1" si="22"/>
        <v>Costa Rica</v>
      </c>
      <c r="AN22" t="str">
        <f t="shared" ca="1" si="22"/>
        <v>Argentina</v>
      </c>
      <c r="AP22">
        <f t="shared" ca="1" si="57"/>
        <v>40.299999999999997</v>
      </c>
      <c r="AQ22">
        <f t="shared" ca="1" si="58"/>
        <v>37.5</v>
      </c>
      <c r="AR22">
        <f t="shared" ca="1" si="59"/>
        <v>40</v>
      </c>
      <c r="AS22">
        <f t="shared" ca="1" si="60"/>
        <v>33.299999999999997</v>
      </c>
      <c r="AT22">
        <f t="shared" ca="1" si="61"/>
        <v>1</v>
      </c>
      <c r="AU22" s="203">
        <f t="shared" ca="1" si="62"/>
        <v>2.8E-3</v>
      </c>
      <c r="AV22" s="203"/>
      <c r="AW22" s="206">
        <f t="shared" ca="1" si="63"/>
        <v>15</v>
      </c>
      <c r="AX22" s="206">
        <f t="shared" ca="1" si="23"/>
        <v>15</v>
      </c>
      <c r="AY22" s="206">
        <f t="shared" ca="1" si="23"/>
        <v>15</v>
      </c>
      <c r="AZ22" s="206">
        <f t="shared" ca="1" si="23"/>
        <v>11</v>
      </c>
      <c r="BA22" s="206">
        <f t="shared" ca="1" si="23"/>
        <v>13</v>
      </c>
      <c r="BB22" s="206">
        <f t="shared" ca="1" si="23"/>
        <v>15</v>
      </c>
      <c r="BC22" s="206"/>
      <c r="BD22" s="186">
        <f t="shared" ca="1" si="97"/>
        <v>15</v>
      </c>
      <c r="BE22" s="186" t="str">
        <f t="shared" ca="1" si="98"/>
        <v>=15</v>
      </c>
      <c r="BF22" s="186">
        <f t="shared" ca="1" si="98"/>
        <v>15</v>
      </c>
      <c r="BG22" s="186" t="str">
        <f t="shared" ca="1" si="98"/>
        <v>=11</v>
      </c>
      <c r="BH22" s="186" t="str">
        <f t="shared" ca="1" si="98"/>
        <v>=13</v>
      </c>
      <c r="BI22" s="186">
        <f t="shared" ca="1" si="98"/>
        <v>15</v>
      </c>
      <c r="BK22">
        <f ca="1">IF($B22=0,"",ROUND(OFFSET(uxb_scores_2007!$I$2,G$6,AB22),1))</f>
        <v>-1</v>
      </c>
      <c r="BL22">
        <f ca="1">IF($B22=0,"",ROUND(OFFSET(uxb_scores_2007!$I$2,H$6,AC22),1))</f>
        <v>50</v>
      </c>
      <c r="BM22">
        <f ca="1">IF($B22=0,"",ROUND(OFFSET(uxb_scores_2007!$I$2,I$6,AD22),1))</f>
        <v>37.5</v>
      </c>
      <c r="BN22">
        <f ca="1">IF($B22=0,"",ROUND(OFFSET(uxb_scores_2007!$I$2,J$6,AE22),1))</f>
        <v>41.7</v>
      </c>
      <c r="BO22">
        <f ca="1">IF($B22=0,"",ROUND(OFFSET(uxb_scores_2007!$I$2,K$6,AF22),1))</f>
        <v>-1</v>
      </c>
      <c r="BP22" s="203">
        <f ca="1">IF($B22=0,"",ROUND(OFFSET(uxb_scores_2007!$I$2,L$6,AG22),4))</f>
        <v>2.8E-3</v>
      </c>
      <c r="BR22">
        <f t="shared" ca="1" si="64"/>
        <v>16</v>
      </c>
      <c r="BS22">
        <f t="shared" ca="1" si="65"/>
        <v>8</v>
      </c>
      <c r="BT22">
        <f t="shared" ca="1" si="66"/>
        <v>15</v>
      </c>
      <c r="BU22">
        <f t="shared" ca="1" si="67"/>
        <v>8</v>
      </c>
      <c r="BV22">
        <f t="shared" ca="1" si="68"/>
        <v>16</v>
      </c>
      <c r="BW22">
        <f t="shared" ca="1" si="69"/>
        <v>15</v>
      </c>
      <c r="BY22" t="str">
        <f t="shared" ca="1" si="26"/>
        <v>new</v>
      </c>
      <c r="BZ22">
        <f t="shared" ca="1" si="27"/>
        <v>-12.5</v>
      </c>
      <c r="CA22">
        <f t="shared" ca="1" si="28"/>
        <v>2.5</v>
      </c>
      <c r="CB22">
        <f t="shared" ca="1" si="29"/>
        <v>-8.4</v>
      </c>
      <c r="CC22" t="str">
        <f t="shared" ca="1" si="30"/>
        <v>new</v>
      </c>
      <c r="CD22">
        <f t="shared" ca="1" si="31"/>
        <v>0</v>
      </c>
      <c r="CF22" s="206">
        <f t="shared" ca="1" si="70"/>
        <v>1</v>
      </c>
      <c r="CG22" s="206">
        <f t="shared" ca="1" si="71"/>
        <v>-7</v>
      </c>
      <c r="CH22" s="206">
        <f t="shared" ca="1" si="72"/>
        <v>0</v>
      </c>
      <c r="CI22" s="206">
        <f t="shared" ca="1" si="73"/>
        <v>-3</v>
      </c>
      <c r="CJ22" s="206">
        <f t="shared" ca="1" si="74"/>
        <v>3</v>
      </c>
      <c r="CK22" s="206">
        <f t="shared" ca="1" si="75"/>
        <v>0</v>
      </c>
      <c r="CM22" t="str">
        <f t="shared" ca="1" si="76"/>
        <v>new</v>
      </c>
      <c r="CN22" t="str">
        <f t="shared" ca="1" si="33"/>
        <v>-12.5</v>
      </c>
      <c r="CO22" t="str">
        <f t="shared" ca="1" si="33"/>
        <v>+2.5</v>
      </c>
      <c r="CP22" t="str">
        <f t="shared" ca="1" si="33"/>
        <v>-8.4</v>
      </c>
      <c r="CQ22" t="str">
        <f t="shared" ca="1" si="33"/>
        <v>new</v>
      </c>
      <c r="CR22" t="str">
        <f t="shared" ca="1" si="33"/>
        <v>-</v>
      </c>
      <c r="CT22">
        <f t="shared" ca="1" si="77"/>
        <v>0</v>
      </c>
      <c r="CU22">
        <f t="shared" ca="1" si="34"/>
        <v>-1</v>
      </c>
      <c r="CV22">
        <f t="shared" ca="1" si="34"/>
        <v>1</v>
      </c>
      <c r="CW22">
        <f t="shared" ca="1" si="34"/>
        <v>-1</v>
      </c>
      <c r="CX22">
        <f t="shared" ca="1" si="34"/>
        <v>0</v>
      </c>
      <c r="CY22">
        <f t="shared" ca="1" si="34"/>
        <v>0</v>
      </c>
      <c r="DA22" t="str">
        <f t="shared" ca="1" si="78"/>
        <v/>
      </c>
      <c r="DB22" t="str">
        <f t="shared" ca="1" si="79"/>
        <v>-7</v>
      </c>
      <c r="DC22" t="str">
        <f t="shared" ca="1" si="80"/>
        <v>-</v>
      </c>
      <c r="DD22" t="str">
        <f t="shared" ca="1" si="81"/>
        <v>-3</v>
      </c>
      <c r="DE22" t="str">
        <f t="shared" ca="1" si="82"/>
        <v/>
      </c>
      <c r="DF22" t="str">
        <f t="shared" ca="1" si="83"/>
        <v>-</v>
      </c>
      <c r="DH22">
        <f t="shared" ca="1" si="84"/>
        <v>0</v>
      </c>
      <c r="DI22">
        <f t="shared" ca="1" si="85"/>
        <v>-1</v>
      </c>
      <c r="DJ22">
        <f t="shared" ca="1" si="86"/>
        <v>0</v>
      </c>
      <c r="DK22">
        <f t="shared" ca="1" si="87"/>
        <v>-1</v>
      </c>
      <c r="DL22">
        <f t="shared" ca="1" si="88"/>
        <v>0</v>
      </c>
      <c r="DM22">
        <f t="shared" ca="1" si="89"/>
        <v>0</v>
      </c>
      <c r="DO22" t="e">
        <f ca="1">RANK(BY22,BY$8:BY$27)+COUNTIF(BY22:BY$27,BY22)-1</f>
        <v>#VALUE!</v>
      </c>
      <c r="DP22">
        <f ca="1">RANK(BZ22,BZ$8:BZ$27)+COUNTIF(BZ22:BZ$27,BZ22)-1</f>
        <v>14</v>
      </c>
      <c r="DQ22">
        <f ca="1">RANK(CA22,CA$8:CA$27)+COUNTIF(CA22:CA$27,CA22)-1</f>
        <v>3</v>
      </c>
      <c r="DR22">
        <f ca="1">RANK(CB22,CB$8:CB$27)+COUNTIF(CB22:CB$27,CB22)-1</f>
        <v>14</v>
      </c>
      <c r="DS22" t="e">
        <f ca="1">RANK(CC22,CC$8:CC$27)+COUNTIF(CC22:CC$27,CC22)-1</f>
        <v>#VALUE!</v>
      </c>
      <c r="DT22">
        <f ca="1">RANK(CD22,CD$8:CD$27)+COUNTIF(CD22:CD$27,CD22)-1</f>
        <v>6</v>
      </c>
      <c r="DV22">
        <f t="shared" ca="1" si="90"/>
        <v>9</v>
      </c>
      <c r="DW22">
        <f t="shared" ca="1" si="37"/>
        <v>1</v>
      </c>
      <c r="DX22">
        <f t="shared" ca="1" si="37"/>
        <v>19</v>
      </c>
      <c r="DY22">
        <f t="shared" ca="1" si="37"/>
        <v>8</v>
      </c>
      <c r="DZ22">
        <f t="shared" ca="1" si="37"/>
        <v>2</v>
      </c>
      <c r="EA22">
        <f t="shared" ca="1" si="37"/>
        <v>6</v>
      </c>
      <c r="EC22" t="str">
        <f t="shared" ca="1" si="38"/>
        <v>Dominican Rep</v>
      </c>
      <c r="ED22" t="str">
        <f t="shared" ca="1" si="39"/>
        <v>Bolivia</v>
      </c>
      <c r="EE22" t="str">
        <f t="shared" ca="1" si="40"/>
        <v>Ecuador</v>
      </c>
      <c r="EF22" t="str">
        <f t="shared" ca="1" si="41"/>
        <v>Dominican Rep</v>
      </c>
      <c r="EG22" t="str">
        <f t="shared" ca="1" si="42"/>
        <v>Bolivia</v>
      </c>
      <c r="EH22" t="str">
        <f t="shared" ca="1" si="43"/>
        <v>Chile</v>
      </c>
      <c r="EJ22">
        <f t="shared" ca="1" si="44"/>
        <v>48</v>
      </c>
      <c r="EK22">
        <f t="shared" ca="1" si="45"/>
        <v>87.5</v>
      </c>
      <c r="EL22">
        <f t="shared" ca="1" si="46"/>
        <v>31.7</v>
      </c>
      <c r="EM22">
        <f t="shared" ca="1" si="47"/>
        <v>50</v>
      </c>
      <c r="EN22">
        <f t="shared" ca="1" si="48"/>
        <v>3</v>
      </c>
      <c r="EO22">
        <f t="shared" ca="1" si="49"/>
        <v>0.19900000000000001</v>
      </c>
      <c r="EQ22">
        <f t="shared" ca="1" si="91"/>
        <v>57.5</v>
      </c>
      <c r="ER22">
        <f t="shared" ca="1" si="50"/>
        <v>100</v>
      </c>
      <c r="ES22">
        <f t="shared" ca="1" si="50"/>
        <v>41.3</v>
      </c>
      <c r="ET22">
        <f t="shared" ca="1" si="50"/>
        <v>75</v>
      </c>
      <c r="EU22">
        <f t="shared" ca="1" si="50"/>
        <v>4</v>
      </c>
      <c r="EV22">
        <f t="shared" ca="1" si="50"/>
        <v>0.19900000000000001</v>
      </c>
      <c r="EX22" t="str">
        <f t="shared" ca="1" si="92"/>
        <v>-9.5</v>
      </c>
      <c r="EY22" t="str">
        <f t="shared" ca="1" si="51"/>
        <v>-12.5</v>
      </c>
      <c r="EZ22" t="str">
        <f t="shared" ca="1" si="51"/>
        <v>-9.6</v>
      </c>
      <c r="FA22" t="str">
        <f t="shared" ca="1" si="51"/>
        <v>-25.0</v>
      </c>
      <c r="FB22" t="str">
        <f t="shared" ca="1" si="51"/>
        <v>-1.0</v>
      </c>
      <c r="FE22">
        <f t="shared" ca="1" si="93"/>
        <v>-1</v>
      </c>
      <c r="FF22">
        <f t="shared" ca="1" si="52"/>
        <v>-1</v>
      </c>
      <c r="FG22">
        <f t="shared" ca="1" si="52"/>
        <v>-1</v>
      </c>
      <c r="FH22">
        <f t="shared" ca="1" si="52"/>
        <v>-1</v>
      </c>
      <c r="FI22">
        <f t="shared" ca="1" si="52"/>
        <v>-1</v>
      </c>
      <c r="FJ22">
        <f t="shared" ca="1" si="52"/>
        <v>0</v>
      </c>
      <c r="FL22" t="str">
        <f t="shared" ca="1" si="94"/>
        <v>-4</v>
      </c>
      <c r="FM22" t="str">
        <f t="shared" ca="1" si="53"/>
        <v>-</v>
      </c>
      <c r="FN22" t="str">
        <f t="shared" ca="1" si="53"/>
        <v>-9</v>
      </c>
      <c r="FO22" t="str">
        <f t="shared" ca="1" si="53"/>
        <v>-7</v>
      </c>
      <c r="FP22" t="str">
        <f t="shared" ca="1" si="53"/>
        <v>-1</v>
      </c>
      <c r="FQ22" t="str">
        <f t="shared" ca="1" si="53"/>
        <v>-</v>
      </c>
      <c r="FS22">
        <f t="shared" ca="1" si="95"/>
        <v>-1</v>
      </c>
      <c r="FT22">
        <f t="shared" ca="1" si="54"/>
        <v>0</v>
      </c>
      <c r="FU22">
        <f t="shared" ca="1" si="54"/>
        <v>-1</v>
      </c>
      <c r="FV22">
        <f t="shared" ca="1" si="54"/>
        <v>-1</v>
      </c>
      <c r="FW22">
        <f t="shared" ca="1" si="54"/>
        <v>-1</v>
      </c>
      <c r="FX22">
        <f t="shared" ca="1" si="54"/>
        <v>0</v>
      </c>
      <c r="FZ22">
        <f t="shared" ca="1" si="96"/>
        <v>7</v>
      </c>
    </row>
    <row r="23" spans="1:182">
      <c r="A23">
        <v>16</v>
      </c>
      <c r="B23">
        <v>1</v>
      </c>
      <c r="C23" t="str">
        <f ca="1">uxb_countries!B18</f>
        <v>Panama</v>
      </c>
      <c r="D23" t="str">
        <f ca="1">uxb_countries!A18</f>
        <v>PA</v>
      </c>
      <c r="E23" s="4">
        <f ca="1">MATCH(D23,uxb_scores_2007!$J$2:$AC$2,0)</f>
        <v>16</v>
      </c>
      <c r="G23" s="3">
        <f ca="1">IF($B23=0,"",ROUND(OFFSET(uxb_scores_2008!$I$2,G$6,$E23),2))</f>
        <v>47.5</v>
      </c>
      <c r="H23" s="3">
        <f ca="1">IF($B23=0,"",ROUND(OFFSET(uxb_scores_2008!$I$2,H$6,$E23),2))</f>
        <v>56.25</v>
      </c>
      <c r="I23" s="3">
        <f ca="1">IF($B23=0,"",ROUND(OFFSET(uxb_scores_2008!$I$2,I$6,$E23),2))</f>
        <v>58.33</v>
      </c>
      <c r="J23" s="3">
        <f ca="1">IF($B23=0,"",ROUND(OFFSET(uxb_scores_2008!$I$2,J$6,$E23),2))</f>
        <v>33.33</v>
      </c>
      <c r="K23" s="3">
        <f ca="1">IF($B23=0,"",ROUND(OFFSET(uxb_scores_2008!$I$2,K$6,$E23),2))</f>
        <v>2</v>
      </c>
      <c r="L23">
        <f ca="1">IF($B23=0,"",ROUND(OFFSET(uxb_scores_2008!$I$2,L$6,$E23),4))</f>
        <v>0</v>
      </c>
      <c r="U23">
        <f ca="1">IF($B23=1,RANK(G23,G$8:G$30,$B$1)+COUNTIF(G$8:G23,G23)-1,"")</f>
        <v>11</v>
      </c>
      <c r="V23">
        <f ca="1">IF($B23=1,RANK(H23,H$8:H$30,$B$1)+COUNTIF(H$8:H23,H23)-1,"")</f>
        <v>10</v>
      </c>
      <c r="W23">
        <f ca="1">IF($B23=1,RANK(I23,I$8:I$30,$B$1)+COUNTIF(I$8:I23,I23)-1,"")</f>
        <v>4</v>
      </c>
      <c r="X23">
        <f ca="1">IF($B23=1,RANK(J23,J$8:J$30,$B$1)+COUNTIF(J$8:J23,J23)-1,"")</f>
        <v>16</v>
      </c>
      <c r="Y23">
        <f ca="1">IF($B23=1,RANK(K23,K$8:K$30,$B$1)+COUNTIF(K$8:K23,K23)-1,"")</f>
        <v>11</v>
      </c>
      <c r="Z23">
        <f ca="1">IF($B23=1,RANK(L23,L$8:L$30,$B$1)+COUNTIF(L$8:L23,L23)-1,"")</f>
        <v>20</v>
      </c>
      <c r="AB23">
        <f t="shared" ref="AB23:AG27" ca="1" si="99">IF(ISERROR(MATCH($A23,U$8:U$30,0)),0,MATCH($A23,U$8:U$30,0))</f>
        <v>11</v>
      </c>
      <c r="AC23">
        <f t="shared" ca="1" si="99"/>
        <v>6</v>
      </c>
      <c r="AD23">
        <f t="shared" ca="1" si="99"/>
        <v>17</v>
      </c>
      <c r="AE23">
        <f t="shared" ca="1" si="99"/>
        <v>16</v>
      </c>
      <c r="AF23">
        <f t="shared" ca="1" si="99"/>
        <v>10</v>
      </c>
      <c r="AG23">
        <f t="shared" ca="1" si="99"/>
        <v>6</v>
      </c>
      <c r="AI23" t="str">
        <f t="shared" ref="AI23:AN27" ca="1" si="100">IF(AB23=0,"",INDEX($C$8:$C$30,AB23))</f>
        <v>Haiti</v>
      </c>
      <c r="AJ23" t="str">
        <f t="shared" ca="1" si="100"/>
        <v>Costa Rica</v>
      </c>
      <c r="AK23" t="str">
        <f t="shared" ca="1" si="100"/>
        <v>Paraguay</v>
      </c>
      <c r="AL23" t="str">
        <f t="shared" ca="1" si="100"/>
        <v>Panama</v>
      </c>
      <c r="AM23" t="str">
        <f t="shared" ca="1" si="100"/>
        <v>Guatemala</v>
      </c>
      <c r="AN23" t="str">
        <f t="shared" ca="1" si="100"/>
        <v>Costa Rica</v>
      </c>
      <c r="AP23">
        <f ca="1">IF(AI23=0,"",ROUND(INDEX(G$8:G$30,AB23),1))</f>
        <v>30.2</v>
      </c>
      <c r="AQ23">
        <f t="shared" ca="1" si="58"/>
        <v>37.5</v>
      </c>
      <c r="AR23">
        <f t="shared" ca="1" si="59"/>
        <v>39.700000000000003</v>
      </c>
      <c r="AS23">
        <f t="shared" ca="1" si="60"/>
        <v>33.299999999999997</v>
      </c>
      <c r="AT23">
        <f t="shared" ca="1" si="61"/>
        <v>1</v>
      </c>
      <c r="AU23" s="203">
        <f t="shared" ca="1" si="62"/>
        <v>0</v>
      </c>
      <c r="AV23" s="203"/>
      <c r="AW23" s="206">
        <f t="shared" ca="1" si="63"/>
        <v>16</v>
      </c>
      <c r="AX23" s="206">
        <f t="shared" ca="1" si="23"/>
        <v>15</v>
      </c>
      <c r="AY23" s="206">
        <f t="shared" ca="1" si="23"/>
        <v>16</v>
      </c>
      <c r="AZ23" s="206">
        <f t="shared" ca="1" si="23"/>
        <v>11</v>
      </c>
      <c r="BA23" s="206">
        <f t="shared" ca="1" si="23"/>
        <v>13</v>
      </c>
      <c r="BB23" s="206">
        <f t="shared" ca="1" si="23"/>
        <v>16</v>
      </c>
      <c r="BC23" s="206"/>
      <c r="BD23" s="186">
        <f t="shared" ca="1" si="97"/>
        <v>16</v>
      </c>
      <c r="BE23" s="186" t="str">
        <f t="shared" ca="1" si="98"/>
        <v>=15</v>
      </c>
      <c r="BF23" s="186">
        <f t="shared" ca="1" si="98"/>
        <v>16</v>
      </c>
      <c r="BG23" s="186" t="str">
        <f t="shared" ca="1" si="98"/>
        <v>=11</v>
      </c>
      <c r="BH23" s="186" t="str">
        <f t="shared" ca="1" si="98"/>
        <v>=13</v>
      </c>
      <c r="BI23" s="186" t="str">
        <f t="shared" ca="1" si="98"/>
        <v>=16</v>
      </c>
      <c r="BK23">
        <f ca="1">IF($B23=0,"",ROUND(OFFSET(uxb_scores_2007!$I$2,G$6,AB23),1))</f>
        <v>-1</v>
      </c>
      <c r="BL23">
        <f ca="1">IF($B23=0,"",ROUND(OFFSET(uxb_scores_2007!$I$2,H$6,AC23),1))</f>
        <v>-1</v>
      </c>
      <c r="BM23">
        <f ca="1">IF($B23=0,"",ROUND(OFFSET(uxb_scores_2007!$I$2,I$6,AD23),1))</f>
        <v>39.6</v>
      </c>
      <c r="BN23">
        <f ca="1">IF($B23=0,"",ROUND(OFFSET(uxb_scores_2007!$I$2,J$6,AE23),1))</f>
        <v>-1</v>
      </c>
      <c r="BO23">
        <f ca="1">IF($B23=0,"",ROUND(OFFSET(uxb_scores_2007!$I$2,K$6,AF23),1))</f>
        <v>1</v>
      </c>
      <c r="BP23" s="203">
        <f ca="1">IF($B23=0,"",ROUND(OFFSET(uxb_scores_2007!$I$2,L$6,AG23),4))</f>
        <v>0</v>
      </c>
      <c r="BR23">
        <f t="shared" ca="1" si="64"/>
        <v>16</v>
      </c>
      <c r="BS23">
        <f t="shared" ca="1" si="65"/>
        <v>16</v>
      </c>
      <c r="BT23">
        <f t="shared" ca="1" si="66"/>
        <v>14</v>
      </c>
      <c r="BU23">
        <f t="shared" ca="1" si="67"/>
        <v>16</v>
      </c>
      <c r="BV23">
        <f t="shared" ca="1" si="68"/>
        <v>10</v>
      </c>
      <c r="BW23">
        <f t="shared" ca="1" si="69"/>
        <v>16</v>
      </c>
      <c r="BY23" t="str">
        <f t="shared" ca="1" si="26"/>
        <v>new</v>
      </c>
      <c r="BZ23" t="str">
        <f t="shared" ca="1" si="27"/>
        <v>new</v>
      </c>
      <c r="CA23">
        <f t="shared" ca="1" si="28"/>
        <v>0.1</v>
      </c>
      <c r="CB23" t="str">
        <f t="shared" ca="1" si="29"/>
        <v>new</v>
      </c>
      <c r="CC23">
        <f t="shared" ca="1" si="30"/>
        <v>0</v>
      </c>
      <c r="CD23">
        <f t="shared" ca="1" si="31"/>
        <v>0</v>
      </c>
      <c r="CF23" s="206">
        <f t="shared" ca="1" si="70"/>
        <v>0</v>
      </c>
      <c r="CG23" s="206">
        <f t="shared" ca="1" si="71"/>
        <v>1</v>
      </c>
      <c r="CH23" s="206">
        <f t="shared" ca="1" si="72"/>
        <v>-2</v>
      </c>
      <c r="CI23" s="206">
        <f t="shared" ca="1" si="73"/>
        <v>5</v>
      </c>
      <c r="CJ23" s="206">
        <f t="shared" ca="1" si="74"/>
        <v>-3</v>
      </c>
      <c r="CK23" s="206">
        <f t="shared" ca="1" si="75"/>
        <v>0</v>
      </c>
      <c r="CM23" t="str">
        <f t="shared" ca="1" si="76"/>
        <v>new</v>
      </c>
      <c r="CN23" t="str">
        <f t="shared" ca="1" si="33"/>
        <v>new</v>
      </c>
      <c r="CO23" t="str">
        <f t="shared" ca="1" si="33"/>
        <v>+0.1</v>
      </c>
      <c r="CP23" t="str">
        <f t="shared" ca="1" si="33"/>
        <v>new</v>
      </c>
      <c r="CQ23" t="str">
        <f t="shared" ca="1" si="33"/>
        <v>-</v>
      </c>
      <c r="CR23" t="str">
        <f t="shared" ca="1" si="33"/>
        <v>-</v>
      </c>
      <c r="CT23">
        <f t="shared" ca="1" si="77"/>
        <v>0</v>
      </c>
      <c r="CU23">
        <f t="shared" ca="1" si="34"/>
        <v>0</v>
      </c>
      <c r="CV23">
        <f t="shared" ca="1" si="34"/>
        <v>1</v>
      </c>
      <c r="CW23">
        <f t="shared" ca="1" si="34"/>
        <v>0</v>
      </c>
      <c r="CX23">
        <f t="shared" ca="1" si="34"/>
        <v>0</v>
      </c>
      <c r="CY23">
        <f t="shared" ca="1" si="34"/>
        <v>0</v>
      </c>
      <c r="DA23" t="str">
        <f t="shared" ca="1" si="78"/>
        <v/>
      </c>
      <c r="DB23" t="str">
        <f t="shared" ca="1" si="79"/>
        <v/>
      </c>
      <c r="DC23" t="str">
        <f t="shared" ca="1" si="80"/>
        <v>-2</v>
      </c>
      <c r="DD23" t="str">
        <f t="shared" ca="1" si="81"/>
        <v/>
      </c>
      <c r="DE23" t="str">
        <f t="shared" ca="1" si="82"/>
        <v>-3</v>
      </c>
      <c r="DF23" t="str">
        <f t="shared" ca="1" si="83"/>
        <v>-</v>
      </c>
      <c r="DH23">
        <f t="shared" ca="1" si="84"/>
        <v>0</v>
      </c>
      <c r="DI23">
        <f t="shared" ca="1" si="85"/>
        <v>0</v>
      </c>
      <c r="DJ23">
        <f t="shared" ca="1" si="86"/>
        <v>-1</v>
      </c>
      <c r="DK23">
        <f t="shared" ca="1" si="87"/>
        <v>0</v>
      </c>
      <c r="DL23">
        <f t="shared" ca="1" si="88"/>
        <v>-1</v>
      </c>
      <c r="DM23">
        <f t="shared" ca="1" si="89"/>
        <v>0</v>
      </c>
      <c r="DO23" t="e">
        <f ca="1">RANK(BY23,BY$8:BY$27)+COUNTIF(BY23:BY$27,BY23)-1</f>
        <v>#VALUE!</v>
      </c>
      <c r="DP23" t="e">
        <f ca="1">RANK(BZ23,BZ$8:BZ$27)+COUNTIF(BZ23:BZ$27,BZ23)-1</f>
        <v>#VALUE!</v>
      </c>
      <c r="DQ23">
        <f ca="1">RANK(CA23,CA$8:CA$27)+COUNTIF(CA23:CA$27,CA23)-1</f>
        <v>4</v>
      </c>
      <c r="DR23" t="e">
        <f ca="1">RANK(CB23,CB$8:CB$27)+COUNTIF(CB23:CB$27,CB23)-1</f>
        <v>#VALUE!</v>
      </c>
      <c r="DS23">
        <f ca="1">RANK(CC23,CC$8:CC$27)+COUNTIF(CC23:CC$27,CC23)-1</f>
        <v>6</v>
      </c>
      <c r="DT23">
        <f ca="1">RANK(CD23,CD$8:CD$27)+COUNTIF(CD23:CD$27,CD23)-1</f>
        <v>5</v>
      </c>
      <c r="DV23">
        <f t="shared" ca="1" si="90"/>
        <v>0</v>
      </c>
      <c r="DW23">
        <f t="shared" ca="1" si="37"/>
        <v>0</v>
      </c>
      <c r="DX23">
        <f t="shared" ca="1" si="37"/>
        <v>0</v>
      </c>
      <c r="DY23">
        <f t="shared" ca="1" si="37"/>
        <v>0</v>
      </c>
      <c r="DZ23">
        <f t="shared" ca="1" si="37"/>
        <v>0</v>
      </c>
      <c r="EA23">
        <f t="shared" ca="1" si="37"/>
        <v>5</v>
      </c>
      <c r="EC23" t="str">
        <f t="shared" ca="1" si="38"/>
        <v/>
      </c>
      <c r="ED23" t="str">
        <f t="shared" ca="1" si="39"/>
        <v/>
      </c>
      <c r="EE23" t="str">
        <f t="shared" ca="1" si="40"/>
        <v/>
      </c>
      <c r="EF23" t="str">
        <f t="shared" ca="1" si="41"/>
        <v/>
      </c>
      <c r="EG23" t="str">
        <f t="shared" ca="1" si="42"/>
        <v/>
      </c>
      <c r="EH23" t="str">
        <f t="shared" ca="1" si="43"/>
        <v>Guatemala</v>
      </c>
      <c r="EJ23" t="str">
        <f t="shared" ca="1" si="44"/>
        <v/>
      </c>
      <c r="EK23" t="str">
        <f t="shared" ca="1" si="45"/>
        <v/>
      </c>
      <c r="EL23" t="str">
        <f t="shared" ca="1" si="46"/>
        <v/>
      </c>
      <c r="EM23" t="str">
        <f t="shared" ca="1" si="47"/>
        <v/>
      </c>
      <c r="EN23" t="str">
        <f t="shared" ca="1" si="48"/>
        <v/>
      </c>
      <c r="EO23">
        <f t="shared" ca="1" si="49"/>
        <v>0.22700000000000001</v>
      </c>
      <c r="EQ23" t="str">
        <f t="shared" ca="1" si="91"/>
        <v/>
      </c>
      <c r="ER23" t="str">
        <f t="shared" ca="1" si="50"/>
        <v/>
      </c>
      <c r="ES23" t="str">
        <f t="shared" ca="1" si="50"/>
        <v/>
      </c>
      <c r="ET23" t="str">
        <f t="shared" ca="1" si="50"/>
        <v/>
      </c>
      <c r="EU23" t="str">
        <f t="shared" ca="1" si="50"/>
        <v/>
      </c>
      <c r="EV23">
        <f t="shared" ca="1" si="50"/>
        <v>0.22700000000000001</v>
      </c>
      <c r="EX23" t="str">
        <f t="shared" ca="1" si="92"/>
        <v/>
      </c>
      <c r="EY23" t="str">
        <f t="shared" ca="1" si="51"/>
        <v/>
      </c>
      <c r="EZ23" t="str">
        <f t="shared" ca="1" si="51"/>
        <v/>
      </c>
      <c r="FA23" t="str">
        <f t="shared" ca="1" si="51"/>
        <v/>
      </c>
      <c r="FB23" t="str">
        <f t="shared" ca="1" si="51"/>
        <v/>
      </c>
      <c r="FE23" t="str">
        <f t="shared" ca="1" si="93"/>
        <v/>
      </c>
      <c r="FF23" t="str">
        <f t="shared" ca="1" si="52"/>
        <v/>
      </c>
      <c r="FG23" t="str">
        <f t="shared" ca="1" si="52"/>
        <v/>
      </c>
      <c r="FH23" t="str">
        <f t="shared" ca="1" si="52"/>
        <v/>
      </c>
      <c r="FI23" t="str">
        <f t="shared" ca="1" si="52"/>
        <v/>
      </c>
      <c r="FJ23">
        <f t="shared" ca="1" si="52"/>
        <v>0</v>
      </c>
      <c r="FL23" t="str">
        <f t="shared" ca="1" si="94"/>
        <v/>
      </c>
      <c r="FM23" t="str">
        <f t="shared" ca="1" si="53"/>
        <v/>
      </c>
      <c r="FN23" t="str">
        <f t="shared" ca="1" si="53"/>
        <v/>
      </c>
      <c r="FO23" t="str">
        <f t="shared" ca="1" si="53"/>
        <v/>
      </c>
      <c r="FP23" t="str">
        <f t="shared" ca="1" si="53"/>
        <v/>
      </c>
      <c r="FQ23" t="str">
        <f t="shared" ca="1" si="53"/>
        <v>-</v>
      </c>
      <c r="FS23" t="str">
        <f t="shared" ca="1" si="95"/>
        <v/>
      </c>
      <c r="FT23" t="str">
        <f t="shared" ca="1" si="54"/>
        <v/>
      </c>
      <c r="FU23" t="str">
        <f t="shared" ca="1" si="54"/>
        <v/>
      </c>
      <c r="FV23" t="str">
        <f t="shared" ca="1" si="54"/>
        <v/>
      </c>
      <c r="FW23" t="str">
        <f t="shared" ca="1" si="54"/>
        <v/>
      </c>
      <c r="FX23">
        <f t="shared" ca="1" si="54"/>
        <v>0</v>
      </c>
      <c r="FZ23" t="str">
        <f t="shared" ca="1" si="96"/>
        <v/>
      </c>
    </row>
    <row r="24" spans="1:182">
      <c r="A24">
        <v>17</v>
      </c>
      <c r="B24">
        <f ca="1">uxb_countries!D19</f>
        <v>1</v>
      </c>
      <c r="C24" t="str">
        <f ca="1">uxb_countries!B19</f>
        <v>Paraguay</v>
      </c>
      <c r="D24" t="str">
        <f ca="1">uxb_countries!A19</f>
        <v>PY</v>
      </c>
      <c r="E24" s="4">
        <f ca="1">MATCH(D24,uxb_scores_2007!$J$2:$AC$2,0)</f>
        <v>17</v>
      </c>
      <c r="G24" s="3">
        <f ca="1">IF($B24=0,"",ROUND(OFFSET(uxb_scores_2008!$I$2,G$6,$E24),2))</f>
        <v>49.61</v>
      </c>
      <c r="H24" s="3">
        <f ca="1">IF($B24=0,"",ROUND(OFFSET(uxb_scores_2008!$I$2,H$6,$E24),2))</f>
        <v>62.5</v>
      </c>
      <c r="I24" s="3">
        <f ca="1">IF($B24=0,"",ROUND(OFFSET(uxb_scores_2008!$I$2,I$6,$E24),2))</f>
        <v>39.71</v>
      </c>
      <c r="J24" s="3">
        <f ca="1">IF($B24=0,"",ROUND(OFFSET(uxb_scores_2008!$I$2,J$6,$E24),2))</f>
        <v>41.67</v>
      </c>
      <c r="K24" s="3">
        <f ca="1">IF($B24=0,"",ROUND(OFFSET(uxb_scores_2008!$I$2,K$6,$E24),2))</f>
        <v>2</v>
      </c>
      <c r="L24">
        <f ca="1">IF($B24=0,"",ROUND(OFFSET(uxb_scores_2008!$I$2,L$6,$E24),4))</f>
        <v>6.1800000000000001E-2</v>
      </c>
      <c r="U24">
        <f ca="1">IF($B24=1,RANK(G24,G$8:G$30,$B$1)+COUNTIF(G$8:G24,G24)-1,"")</f>
        <v>8</v>
      </c>
      <c r="V24">
        <f ca="1">IF($B24=1,RANK(H24,H$8:H$30,$B$1)+COUNTIF(H$8:H24,H24)-1,"")</f>
        <v>5</v>
      </c>
      <c r="W24">
        <f ca="1">IF($B24=1,RANK(I24,I$8:I$30,$B$1)+COUNTIF(I$8:I24,I24)-1,"")</f>
        <v>16</v>
      </c>
      <c r="X24">
        <f ca="1">IF($B24=1,RANK(J24,J$8:J$30,$B$1)+COUNTIF(J$8:J24,J24)-1,"")</f>
        <v>10</v>
      </c>
      <c r="Y24">
        <f ca="1">IF($B24=1,RANK(K24,K$8:K$30,$B$1)+COUNTIF(K$8:K24,K24)-1,"")</f>
        <v>12</v>
      </c>
      <c r="Z24">
        <f ca="1">IF($B24=1,RANK(L24,L$8:L$30,$B$1)+COUNTIF(L$8:L24,L24)-1,"")</f>
        <v>11</v>
      </c>
      <c r="AB24">
        <f t="shared" ca="1" si="99"/>
        <v>1</v>
      </c>
      <c r="AC24">
        <f t="shared" ca="1" si="99"/>
        <v>19</v>
      </c>
      <c r="AD24">
        <f t="shared" ca="1" si="99"/>
        <v>1</v>
      </c>
      <c r="AE24">
        <f t="shared" ca="1" si="99"/>
        <v>11</v>
      </c>
      <c r="AF24">
        <f t="shared" ca="1" si="99"/>
        <v>11</v>
      </c>
      <c r="AG24">
        <f t="shared" ca="1" si="99"/>
        <v>11</v>
      </c>
      <c r="AI24" t="str">
        <f t="shared" ca="1" si="100"/>
        <v>Argentina</v>
      </c>
      <c r="AJ24" t="str">
        <f t="shared" ca="1" si="100"/>
        <v>Uruguay</v>
      </c>
      <c r="AK24" t="str">
        <f t="shared" ca="1" si="100"/>
        <v>Argentina</v>
      </c>
      <c r="AL24" t="str">
        <f t="shared" ca="1" si="100"/>
        <v>Haiti</v>
      </c>
      <c r="AM24" t="str">
        <f t="shared" ca="1" si="100"/>
        <v>Haiti</v>
      </c>
      <c r="AN24" t="str">
        <f t="shared" ca="1" si="100"/>
        <v>Haiti</v>
      </c>
      <c r="AP24">
        <f ca="1">IF(AI24=0,"",ROUND(INDEX(G$8:G$30,AB24),1))</f>
        <v>28.5</v>
      </c>
      <c r="AQ24">
        <f t="shared" ca="1" si="58"/>
        <v>31.3</v>
      </c>
      <c r="AR24">
        <f t="shared" ca="1" si="59"/>
        <v>38.299999999999997</v>
      </c>
      <c r="AS24">
        <f t="shared" ca="1" si="60"/>
        <v>16.7</v>
      </c>
      <c r="AT24">
        <f t="shared" ca="1" si="61"/>
        <v>1</v>
      </c>
      <c r="AU24" s="203">
        <f t="shared" ca="1" si="62"/>
        <v>0</v>
      </c>
      <c r="AV24" s="203"/>
      <c r="AW24" s="206">
        <f t="shared" ca="1" si="63"/>
        <v>17</v>
      </c>
      <c r="AX24" s="206">
        <f t="shared" ref="AX24:AZ27" ca="1" si="101">RANK(AQ24,AQ$8:AQ$27)</f>
        <v>17</v>
      </c>
      <c r="AY24" s="206">
        <f t="shared" ca="1" si="101"/>
        <v>17</v>
      </c>
      <c r="AZ24" s="206">
        <f t="shared" ca="1" si="101"/>
        <v>17</v>
      </c>
      <c r="BA24" s="206">
        <f t="shared" ref="BA24:BB27" ca="1" si="102">RANK(AT24,AT$8:AT$27)</f>
        <v>13</v>
      </c>
      <c r="BB24" s="206">
        <f t="shared" ca="1" si="102"/>
        <v>16</v>
      </c>
      <c r="BC24" s="206"/>
      <c r="BD24" s="186">
        <f t="shared" ca="1" si="97"/>
        <v>17</v>
      </c>
      <c r="BE24" s="186">
        <f t="shared" ca="1" si="98"/>
        <v>17</v>
      </c>
      <c r="BF24" s="186">
        <f t="shared" ca="1" si="98"/>
        <v>17</v>
      </c>
      <c r="BG24" s="186" t="str">
        <f t="shared" ca="1" si="98"/>
        <v>=17</v>
      </c>
      <c r="BH24" s="186" t="str">
        <f t="shared" ca="1" si="98"/>
        <v>=13</v>
      </c>
      <c r="BI24" s="186" t="str">
        <f t="shared" ca="1" si="98"/>
        <v>=16</v>
      </c>
      <c r="BK24">
        <f ca="1">IF($B24=0,"",ROUND(OFFSET(uxb_scores_2007!$I$2,G$6,AB24),1))</f>
        <v>26.8</v>
      </c>
      <c r="BL24">
        <f ca="1">IF($B24=0,"",ROUND(OFFSET(uxb_scores_2007!$I$2,H$6,AC24),1))</f>
        <v>37.5</v>
      </c>
      <c r="BM24">
        <f ca="1">IF($B24=0,"",ROUND(OFFSET(uxb_scores_2007!$I$2,I$6,AD24),1))</f>
        <v>46.7</v>
      </c>
      <c r="BN24">
        <f ca="1">IF($B24=0,"",ROUND(OFFSET(uxb_scores_2007!$I$2,J$6,AE24),1))</f>
        <v>-1</v>
      </c>
      <c r="BO24">
        <f ca="1">IF($B24=0,"",ROUND(OFFSET(uxb_scores_2007!$I$2,K$6,AF24),1))</f>
        <v>-1</v>
      </c>
      <c r="BP24" s="203">
        <f ca="1">IF($B24=0,"",ROUND(OFFSET(uxb_scores_2007!$I$2,L$6,AG24),4))</f>
        <v>0</v>
      </c>
      <c r="BR24">
        <f t="shared" ca="1" si="64"/>
        <v>15</v>
      </c>
      <c r="BS24">
        <f t="shared" ca="1" si="65"/>
        <v>13</v>
      </c>
      <c r="BT24">
        <f t="shared" ca="1" si="66"/>
        <v>9</v>
      </c>
      <c r="BU24">
        <f t="shared" ca="1" si="67"/>
        <v>16</v>
      </c>
      <c r="BV24">
        <f t="shared" ca="1" si="68"/>
        <v>16</v>
      </c>
      <c r="BW24">
        <f t="shared" ca="1" si="69"/>
        <v>16</v>
      </c>
      <c r="BY24">
        <f t="shared" ca="1" si="26"/>
        <v>1.7</v>
      </c>
      <c r="BZ24">
        <f t="shared" ca="1" si="27"/>
        <v>-6.2</v>
      </c>
      <c r="CA24">
        <f t="shared" ca="1" si="28"/>
        <v>-8.4</v>
      </c>
      <c r="CB24" t="str">
        <f t="shared" ca="1" si="29"/>
        <v>new</v>
      </c>
      <c r="CC24" t="str">
        <f t="shared" ca="1" si="30"/>
        <v>new</v>
      </c>
      <c r="CD24">
        <f t="shared" ca="1" si="31"/>
        <v>0</v>
      </c>
      <c r="CF24" s="206">
        <f t="shared" ca="1" si="70"/>
        <v>-2</v>
      </c>
      <c r="CG24" s="206">
        <f t="shared" ca="1" si="71"/>
        <v>-4</v>
      </c>
      <c r="CH24" s="206">
        <f t="shared" ca="1" si="72"/>
        <v>-8</v>
      </c>
      <c r="CI24" s="206">
        <f t="shared" ca="1" si="73"/>
        <v>-1</v>
      </c>
      <c r="CJ24" s="206">
        <f t="shared" ca="1" si="74"/>
        <v>3</v>
      </c>
      <c r="CK24" s="206">
        <f t="shared" ca="1" si="75"/>
        <v>0</v>
      </c>
      <c r="CM24" t="str">
        <f t="shared" ca="1" si="76"/>
        <v>+1.7</v>
      </c>
      <c r="CN24" t="str">
        <f t="shared" ref="CN24:CR27" ca="1" si="103">IF(BL24=-1,"new",IF(BZ24=0,"-",IF(BZ24&gt;0,CONCATENATE("+",TEXT(BZ24,"0.0")),CONCATENATE("-",TEXT(ABS(BZ24),"0.0")))))</f>
        <v>-6.2</v>
      </c>
      <c r="CO24" t="str">
        <f t="shared" ca="1" si="103"/>
        <v>-8.4</v>
      </c>
      <c r="CP24" t="str">
        <f t="shared" ca="1" si="103"/>
        <v>new</v>
      </c>
      <c r="CQ24" t="str">
        <f t="shared" ca="1" si="103"/>
        <v>new</v>
      </c>
      <c r="CR24" t="str">
        <f t="shared" ca="1" si="103"/>
        <v>-</v>
      </c>
      <c r="CT24">
        <f t="shared" ca="1" si="77"/>
        <v>1</v>
      </c>
      <c r="CU24">
        <f t="shared" ref="CU24:CY27" ca="1" si="104">IF(BL24=-1,0,IF(BZ24=0,0,IF(BZ24&gt;0,1,-1)))</f>
        <v>-1</v>
      </c>
      <c r="CV24">
        <f t="shared" ca="1" si="104"/>
        <v>-1</v>
      </c>
      <c r="CW24">
        <f t="shared" ca="1" si="104"/>
        <v>0</v>
      </c>
      <c r="CX24">
        <f t="shared" ca="1" si="104"/>
        <v>0</v>
      </c>
      <c r="CY24">
        <f t="shared" ca="1" si="104"/>
        <v>0</v>
      </c>
      <c r="DA24" t="str">
        <f t="shared" ca="1" si="78"/>
        <v>-2</v>
      </c>
      <c r="DB24" t="str">
        <f t="shared" ca="1" si="79"/>
        <v>-4</v>
      </c>
      <c r="DC24" t="str">
        <f t="shared" ca="1" si="80"/>
        <v>-8</v>
      </c>
      <c r="DD24" t="str">
        <f t="shared" ca="1" si="81"/>
        <v/>
      </c>
      <c r="DE24" t="str">
        <f t="shared" ca="1" si="82"/>
        <v/>
      </c>
      <c r="DF24" t="str">
        <f t="shared" ca="1" si="83"/>
        <v>-</v>
      </c>
      <c r="DH24">
        <f t="shared" ca="1" si="84"/>
        <v>-1</v>
      </c>
      <c r="DI24">
        <f t="shared" ca="1" si="85"/>
        <v>-1</v>
      </c>
      <c r="DJ24">
        <f t="shared" ca="1" si="86"/>
        <v>-1</v>
      </c>
      <c r="DK24">
        <f t="shared" ca="1" si="87"/>
        <v>0</v>
      </c>
      <c r="DL24">
        <f t="shared" ca="1" si="88"/>
        <v>0</v>
      </c>
      <c r="DM24">
        <f t="shared" ca="1" si="89"/>
        <v>0</v>
      </c>
      <c r="DO24">
        <f ca="1">RANK(BY24,BY$8:BY$27)+COUNTIF(BY24:BY$27,BY24)-1</f>
        <v>5</v>
      </c>
      <c r="DP24">
        <f ca="1">RANK(BZ24,BZ$8:BZ$27)+COUNTIF(BZ24:BZ$27,BZ24)-1</f>
        <v>11</v>
      </c>
      <c r="DQ24">
        <f ca="1">RANK(CA24,CA$8:CA$27)+COUNTIF(CA24:CA$27,CA24)-1</f>
        <v>12</v>
      </c>
      <c r="DR24" t="e">
        <f ca="1">RANK(CB24,CB$8:CB$27)+COUNTIF(CB24:CB$27,CB24)-1</f>
        <v>#VALUE!</v>
      </c>
      <c r="DS24" t="e">
        <f ca="1">RANK(CC24,CC$8:CC$27)+COUNTIF(CC24:CC$27,CC24)-1</f>
        <v>#VALUE!</v>
      </c>
      <c r="DT24">
        <f ca="1">RANK(CD24,CD$8:CD$27)+COUNTIF(CD24:CD$27,CD24)-1</f>
        <v>4</v>
      </c>
      <c r="DV24">
        <f t="shared" ca="1" si="90"/>
        <v>0</v>
      </c>
      <c r="DW24">
        <f t="shared" ref="DW24:EA27" ca="1" si="105">IF(ISERROR(MATCH($A24,DP$8:DP$30,0)),0,MATCH($A24,DP$8:DP$30,0))</f>
        <v>0</v>
      </c>
      <c r="DX24">
        <f t="shared" ca="1" si="105"/>
        <v>0</v>
      </c>
      <c r="DY24">
        <f t="shared" ca="1" si="105"/>
        <v>0</v>
      </c>
      <c r="DZ24">
        <f t="shared" ca="1" si="105"/>
        <v>0</v>
      </c>
      <c r="EA24">
        <f t="shared" ca="1" si="105"/>
        <v>4</v>
      </c>
      <c r="EC24" t="str">
        <f t="shared" ca="1" si="38"/>
        <v/>
      </c>
      <c r="ED24" t="str">
        <f t="shared" ca="1" si="39"/>
        <v/>
      </c>
      <c r="EE24" t="str">
        <f t="shared" ca="1" si="40"/>
        <v/>
      </c>
      <c r="EF24" t="str">
        <f t="shared" ca="1" si="41"/>
        <v/>
      </c>
      <c r="EG24" t="str">
        <f t="shared" ca="1" si="42"/>
        <v/>
      </c>
      <c r="EH24" t="str">
        <f t="shared" ca="1" si="43"/>
        <v>Peru</v>
      </c>
      <c r="EJ24" t="str">
        <f t="shared" ca="1" si="44"/>
        <v/>
      </c>
      <c r="EK24" t="str">
        <f t="shared" ca="1" si="45"/>
        <v/>
      </c>
      <c r="EL24" t="str">
        <f t="shared" ca="1" si="46"/>
        <v/>
      </c>
      <c r="EM24" t="str">
        <f t="shared" ca="1" si="47"/>
        <v/>
      </c>
      <c r="EN24" t="str">
        <f t="shared" ca="1" si="48"/>
        <v/>
      </c>
      <c r="EO24">
        <f t="shared" ca="1" si="49"/>
        <v>0.23519999999999999</v>
      </c>
      <c r="EQ24" t="str">
        <f t="shared" ca="1" si="91"/>
        <v/>
      </c>
      <c r="ER24" t="str">
        <f t="shared" ref="ER24:EV27" ca="1" si="106">IF(DW24=0,"",INDEX(BL$8:BL$30,DW24))</f>
        <v/>
      </c>
      <c r="ES24" t="str">
        <f t="shared" ca="1" si="106"/>
        <v/>
      </c>
      <c r="ET24" t="str">
        <f t="shared" ca="1" si="106"/>
        <v/>
      </c>
      <c r="EU24" t="str">
        <f t="shared" ca="1" si="106"/>
        <v/>
      </c>
      <c r="EV24">
        <f t="shared" ca="1" si="106"/>
        <v>0.23519999999999999</v>
      </c>
      <c r="EX24" t="str">
        <f t="shared" ca="1" si="92"/>
        <v/>
      </c>
      <c r="EY24" t="str">
        <f t="shared" ref="EY24:FB27" ca="1" si="107">IF(DW24=0,"",INDEX(CN$8:CN$30,DW24))</f>
        <v/>
      </c>
      <c r="EZ24" t="str">
        <f t="shared" ca="1" si="107"/>
        <v/>
      </c>
      <c r="FA24" t="str">
        <f t="shared" ca="1" si="107"/>
        <v/>
      </c>
      <c r="FB24" t="str">
        <f t="shared" ca="1" si="107"/>
        <v/>
      </c>
      <c r="FE24" t="str">
        <f t="shared" ca="1" si="93"/>
        <v/>
      </c>
      <c r="FF24" t="str">
        <f t="shared" ref="FF24:FH27" ca="1" si="108">IF(DW24=0,"",INDEX(CU$8:CU$30,DW24))</f>
        <v/>
      </c>
      <c r="FG24" t="str">
        <f t="shared" ca="1" si="108"/>
        <v/>
      </c>
      <c r="FH24" t="str">
        <f t="shared" ca="1" si="108"/>
        <v/>
      </c>
      <c r="FI24" t="str">
        <f t="shared" ref="FI24:FJ27" ca="1" si="109">IF(DZ24=0,"",INDEX(CX$8:CX$30,DZ24))</f>
        <v/>
      </c>
      <c r="FJ24">
        <f t="shared" ca="1" si="109"/>
        <v>0</v>
      </c>
      <c r="FL24" t="str">
        <f t="shared" ca="1" si="94"/>
        <v/>
      </c>
      <c r="FM24" t="str">
        <f t="shared" ref="FM24:FQ27" ca="1" si="110">IF(DW24=0,"",INDEX(DB$8:DB$30,DW24))</f>
        <v/>
      </c>
      <c r="FN24" t="str">
        <f t="shared" ca="1" si="110"/>
        <v/>
      </c>
      <c r="FO24" t="str">
        <f t="shared" ca="1" si="110"/>
        <v/>
      </c>
      <c r="FP24" t="str">
        <f t="shared" ca="1" si="110"/>
        <v/>
      </c>
      <c r="FQ24" t="str">
        <f t="shared" ca="1" si="110"/>
        <v>-</v>
      </c>
      <c r="FS24" t="str">
        <f t="shared" ca="1" si="95"/>
        <v/>
      </c>
      <c r="FT24" t="str">
        <f t="shared" ref="FT24:FX27" ca="1" si="111">IF(DW24=0,"",INDEX(DI$8:DI$30,DW24))</f>
        <v/>
      </c>
      <c r="FU24" t="str">
        <f t="shared" ca="1" si="111"/>
        <v/>
      </c>
      <c r="FV24" t="str">
        <f t="shared" ca="1" si="111"/>
        <v/>
      </c>
      <c r="FW24" t="str">
        <f t="shared" ca="1" si="111"/>
        <v/>
      </c>
      <c r="FX24">
        <f t="shared" ca="1" si="111"/>
        <v>0</v>
      </c>
      <c r="FZ24" t="str">
        <f t="shared" ca="1" si="96"/>
        <v/>
      </c>
    </row>
    <row r="25" spans="1:182">
      <c r="A25">
        <v>18</v>
      </c>
      <c r="B25">
        <f ca="1">uxb_countries!D20</f>
        <v>1</v>
      </c>
      <c r="C25" t="str">
        <f ca="1">uxb_countries!B20</f>
        <v>Peru</v>
      </c>
      <c r="D25" t="str">
        <f ca="1">uxb_countries!A20</f>
        <v>PE</v>
      </c>
      <c r="E25" s="4">
        <f ca="1">MATCH(D25,uxb_scores_2007!$J$2:$AC$2,0)</f>
        <v>18</v>
      </c>
      <c r="G25" s="3">
        <f ca="1">IF($B25=0,"",ROUND(OFFSET(uxb_scores_2008!$I$2,G$6,$E25),2))</f>
        <v>76.61</v>
      </c>
      <c r="H25" s="3">
        <f ca="1">IF($B25=0,"",ROUND(OFFSET(uxb_scores_2008!$I$2,H$6,$E25),2))</f>
        <v>87.5</v>
      </c>
      <c r="I25" s="3">
        <f ca="1">IF($B25=0,"",ROUND(OFFSET(uxb_scores_2008!$I$2,I$6,$E25),2))</f>
        <v>58.04</v>
      </c>
      <c r="J25" s="3">
        <f ca="1">IF($B25=0,"",ROUND(OFFSET(uxb_scores_2008!$I$2,J$6,$E25),2))</f>
        <v>75</v>
      </c>
      <c r="K25" s="3">
        <f ca="1">IF($B25=0,"",ROUND(OFFSET(uxb_scores_2008!$I$2,K$6,$E25),2))</f>
        <v>4</v>
      </c>
      <c r="L25">
        <f ca="1">IF($B25=0,"",ROUND(OFFSET(uxb_scores_2008!$I$2,L$6,$E25),4))</f>
        <v>0.23519999999999999</v>
      </c>
      <c r="U25">
        <f ca="1">IF($B25=1,RANK(G25,G$8:G$30,$B$1)+COUNTIF(G$8:G25,G25)-1,"")</f>
        <v>1</v>
      </c>
      <c r="V25">
        <f ca="1">IF($B25=1,RANK(H25,H$8:H$30,$B$1)+COUNTIF(H$8:H25,H25)-1,"")</f>
        <v>2</v>
      </c>
      <c r="W25">
        <f ca="1">IF($B25=1,RANK(I25,I$8:I$30,$B$1)+COUNTIF(I$8:I25,I25)-1,"")</f>
        <v>5</v>
      </c>
      <c r="X25">
        <f ca="1">IF($B25=1,RANK(J25,J$8:J$30,$B$1)+COUNTIF(J$8:J25,J25)-1,"")</f>
        <v>3</v>
      </c>
      <c r="Y25">
        <f ca="1">IF($B25=1,RANK(K25,K$8:K$30,$B$1)+COUNTIF(K$8:K25,K25)-1,"")</f>
        <v>1</v>
      </c>
      <c r="Z25">
        <f ca="1">IF($B25=1,RANK(L25,L$8:L$30,$B$1)+COUNTIF(L$8:L25,L25)-1,"")</f>
        <v>4</v>
      </c>
      <c r="AB25">
        <f t="shared" ca="1" si="99"/>
        <v>19</v>
      </c>
      <c r="AC25">
        <f t="shared" ca="1" si="99"/>
        <v>13</v>
      </c>
      <c r="AD25">
        <f t="shared" ca="1" si="99"/>
        <v>12</v>
      </c>
      <c r="AE25">
        <f t="shared" ca="1" si="99"/>
        <v>19</v>
      </c>
      <c r="AF25">
        <f t="shared" ca="1" si="99"/>
        <v>13</v>
      </c>
      <c r="AG25">
        <f t="shared" ca="1" si="99"/>
        <v>12</v>
      </c>
      <c r="AI25" t="str">
        <f t="shared" ca="1" si="100"/>
        <v>Uruguay</v>
      </c>
      <c r="AJ25" t="str">
        <f t="shared" ca="1" si="100"/>
        <v>Jamaica</v>
      </c>
      <c r="AK25" t="str">
        <f t="shared" ca="1" si="100"/>
        <v>Honduras</v>
      </c>
      <c r="AL25" t="str">
        <f t="shared" ca="1" si="100"/>
        <v>Uruguay</v>
      </c>
      <c r="AM25" t="str">
        <f t="shared" ca="1" si="100"/>
        <v>Jamaica</v>
      </c>
      <c r="AN25" t="str">
        <f t="shared" ca="1" si="100"/>
        <v>Honduras</v>
      </c>
      <c r="AP25">
        <f ca="1">IF(AI25=0,"",ROUND(INDEX(G$8:G$30,AB25),1))</f>
        <v>28.3</v>
      </c>
      <c r="AQ25">
        <f t="shared" ca="1" si="58"/>
        <v>25</v>
      </c>
      <c r="AR25">
        <f t="shared" ca="1" si="59"/>
        <v>35.5</v>
      </c>
      <c r="AS25">
        <f t="shared" ca="1" si="60"/>
        <v>16.7</v>
      </c>
      <c r="AT25">
        <f t="shared" ca="1" si="61"/>
        <v>1</v>
      </c>
      <c r="AU25" s="203">
        <f t="shared" ca="1" si="62"/>
        <v>0</v>
      </c>
      <c r="AV25" s="203"/>
      <c r="AW25" s="206">
        <f t="shared" ca="1" si="63"/>
        <v>18</v>
      </c>
      <c r="AX25" s="206">
        <f t="shared" ca="1" si="101"/>
        <v>18</v>
      </c>
      <c r="AY25" s="206">
        <f t="shared" ca="1" si="101"/>
        <v>18</v>
      </c>
      <c r="AZ25" s="206">
        <f t="shared" ca="1" si="101"/>
        <v>17</v>
      </c>
      <c r="BA25" s="206">
        <f t="shared" ca="1" si="102"/>
        <v>13</v>
      </c>
      <c r="BB25" s="206">
        <f t="shared" ca="1" si="102"/>
        <v>16</v>
      </c>
      <c r="BC25" s="206"/>
      <c r="BD25" s="186">
        <f t="shared" ca="1" si="97"/>
        <v>18</v>
      </c>
      <c r="BE25" s="186" t="str">
        <f t="shared" ref="BE25:BI27" ca="1" si="112">IF(OR(AX25=AX24,AX25=AX26),CONCATENATE("=",AX25),AX25)</f>
        <v>=18</v>
      </c>
      <c r="BF25" s="186">
        <f t="shared" ca="1" si="112"/>
        <v>18</v>
      </c>
      <c r="BG25" s="186" t="str">
        <f t="shared" ca="1" si="112"/>
        <v>=17</v>
      </c>
      <c r="BH25" s="186" t="str">
        <f t="shared" ca="1" si="112"/>
        <v>=13</v>
      </c>
      <c r="BI25" s="186" t="str">
        <f t="shared" ca="1" si="112"/>
        <v>=16</v>
      </c>
      <c r="BK25">
        <f ca="1">IF($B25=0,"",ROUND(OFFSET(uxb_scores_2007!$I$2,G$6,AB25),1))</f>
        <v>35.799999999999997</v>
      </c>
      <c r="BL25">
        <f ca="1">IF($B25=0,"",ROUND(OFFSET(uxb_scores_2007!$I$2,H$6,AC25),1))</f>
        <v>-1</v>
      </c>
      <c r="BM25">
        <f ca="1">IF($B25=0,"",ROUND(OFFSET(uxb_scores_2007!$I$2,I$6,AD25),1))</f>
        <v>-1</v>
      </c>
      <c r="BN25">
        <f ca="1">IF($B25=0,"",ROUND(OFFSET(uxb_scores_2007!$I$2,J$6,AE25),1))</f>
        <v>25</v>
      </c>
      <c r="BO25">
        <f ca="1">IF($B25=0,"",ROUND(OFFSET(uxb_scores_2007!$I$2,K$6,AF25),1))</f>
        <v>-1</v>
      </c>
      <c r="BP25" s="203">
        <f ca="1">IF($B25=0,"",ROUND(OFFSET(uxb_scores_2007!$I$2,L$6,AG25),4))</f>
        <v>0</v>
      </c>
      <c r="BR25">
        <f t="shared" ca="1" si="64"/>
        <v>13</v>
      </c>
      <c r="BS25">
        <f t="shared" ca="1" si="65"/>
        <v>16</v>
      </c>
      <c r="BT25">
        <f t="shared" ca="1" si="66"/>
        <v>16</v>
      </c>
      <c r="BU25">
        <f t="shared" ca="1" si="67"/>
        <v>13</v>
      </c>
      <c r="BV25">
        <f t="shared" ca="1" si="68"/>
        <v>16</v>
      </c>
      <c r="BW25">
        <f t="shared" ca="1" si="69"/>
        <v>16</v>
      </c>
      <c r="BY25">
        <f t="shared" ca="1" si="26"/>
        <v>-7.5</v>
      </c>
      <c r="BZ25" t="str">
        <f t="shared" ca="1" si="27"/>
        <v>new</v>
      </c>
      <c r="CA25" t="str">
        <f t="shared" ca="1" si="28"/>
        <v>new</v>
      </c>
      <c r="CB25">
        <f t="shared" ca="1" si="29"/>
        <v>-8.3000000000000007</v>
      </c>
      <c r="CC25" t="str">
        <f t="shared" ca="1" si="30"/>
        <v>new</v>
      </c>
      <c r="CD25">
        <f t="shared" ca="1" si="31"/>
        <v>0</v>
      </c>
      <c r="CF25" s="206">
        <f t="shared" ca="1" si="70"/>
        <v>-5</v>
      </c>
      <c r="CG25" s="206">
        <f t="shared" ca="1" si="71"/>
        <v>-2</v>
      </c>
      <c r="CH25" s="206">
        <f t="shared" ca="1" si="72"/>
        <v>-2</v>
      </c>
      <c r="CI25" s="206">
        <f t="shared" ca="1" si="73"/>
        <v>-4</v>
      </c>
      <c r="CJ25" s="206">
        <f t="shared" ca="1" si="74"/>
        <v>3</v>
      </c>
      <c r="CK25" s="206">
        <f t="shared" ca="1" si="75"/>
        <v>0</v>
      </c>
      <c r="CM25" t="str">
        <f t="shared" ca="1" si="76"/>
        <v>-7.5</v>
      </c>
      <c r="CN25" t="str">
        <f t="shared" ca="1" si="103"/>
        <v>new</v>
      </c>
      <c r="CO25" t="str">
        <f t="shared" ca="1" si="103"/>
        <v>new</v>
      </c>
      <c r="CP25" t="str">
        <f t="shared" ca="1" si="103"/>
        <v>-8.3</v>
      </c>
      <c r="CQ25" t="str">
        <f t="shared" ca="1" si="103"/>
        <v>new</v>
      </c>
      <c r="CR25" t="str">
        <f t="shared" ca="1" si="103"/>
        <v>-</v>
      </c>
      <c r="CT25">
        <f t="shared" ca="1" si="77"/>
        <v>-1</v>
      </c>
      <c r="CU25">
        <f t="shared" ca="1" si="104"/>
        <v>0</v>
      </c>
      <c r="CV25">
        <f t="shared" ca="1" si="104"/>
        <v>0</v>
      </c>
      <c r="CW25">
        <f t="shared" ca="1" si="104"/>
        <v>-1</v>
      </c>
      <c r="CX25">
        <f t="shared" ca="1" si="104"/>
        <v>0</v>
      </c>
      <c r="CY25">
        <f t="shared" ca="1" si="104"/>
        <v>0</v>
      </c>
      <c r="DA25" t="str">
        <f t="shared" ca="1" si="78"/>
        <v>-5</v>
      </c>
      <c r="DB25" t="str">
        <f t="shared" ca="1" si="79"/>
        <v/>
      </c>
      <c r="DC25" t="str">
        <f t="shared" ca="1" si="80"/>
        <v/>
      </c>
      <c r="DD25" t="str">
        <f t="shared" ca="1" si="81"/>
        <v>-4</v>
      </c>
      <c r="DE25" t="str">
        <f t="shared" ca="1" si="82"/>
        <v/>
      </c>
      <c r="DF25" t="str">
        <f t="shared" ca="1" si="83"/>
        <v>-</v>
      </c>
      <c r="DH25">
        <f t="shared" ca="1" si="84"/>
        <v>-1</v>
      </c>
      <c r="DI25">
        <f t="shared" ca="1" si="85"/>
        <v>0</v>
      </c>
      <c r="DJ25">
        <f t="shared" ca="1" si="86"/>
        <v>0</v>
      </c>
      <c r="DK25">
        <f t="shared" ca="1" si="87"/>
        <v>-1</v>
      </c>
      <c r="DL25">
        <f t="shared" ca="1" si="88"/>
        <v>0</v>
      </c>
      <c r="DM25">
        <f t="shared" ca="1" si="89"/>
        <v>0</v>
      </c>
      <c r="DO25">
        <f ca="1">RANK(BY25,BY$8:BY$27)+COUNTIF(BY25:BY$27,BY25)-1</f>
        <v>14</v>
      </c>
      <c r="DP25" t="e">
        <f ca="1">RANK(BZ25,BZ$8:BZ$27)+COUNTIF(BZ25:BZ$27,BZ25)-1</f>
        <v>#VALUE!</v>
      </c>
      <c r="DQ25" t="e">
        <f ca="1">RANK(CA25,CA$8:CA$27)+COUNTIF(CA25:CA$27,CA25)-1</f>
        <v>#VALUE!</v>
      </c>
      <c r="DR25">
        <f ca="1">RANK(CB25,CB$8:CB$27)+COUNTIF(CB25:CB$27,CB25)-1</f>
        <v>12</v>
      </c>
      <c r="DS25" t="e">
        <f ca="1">RANK(CC25,CC$8:CC$27)+COUNTIF(CC25:CC$27,CC25)-1</f>
        <v>#VALUE!</v>
      </c>
      <c r="DT25">
        <f ca="1">RANK(CD25,CD$8:CD$27)+COUNTIF(CD25:CD$27,CD25)-1</f>
        <v>3</v>
      </c>
      <c r="DV25">
        <f t="shared" ca="1" si="90"/>
        <v>0</v>
      </c>
      <c r="DW25">
        <f t="shared" ca="1" si="105"/>
        <v>0</v>
      </c>
      <c r="DX25">
        <f t="shared" ca="1" si="105"/>
        <v>0</v>
      </c>
      <c r="DY25">
        <f t="shared" ca="1" si="105"/>
        <v>0</v>
      </c>
      <c r="DZ25">
        <f t="shared" ca="1" si="105"/>
        <v>0</v>
      </c>
      <c r="EA25">
        <f t="shared" ca="1" si="105"/>
        <v>3</v>
      </c>
      <c r="EC25" t="str">
        <f t="shared" ca="1" si="38"/>
        <v/>
      </c>
      <c r="ED25" t="str">
        <f t="shared" ca="1" si="39"/>
        <v/>
      </c>
      <c r="EE25" t="str">
        <f t="shared" ca="1" si="40"/>
        <v/>
      </c>
      <c r="EF25" t="str">
        <f t="shared" ca="1" si="41"/>
        <v/>
      </c>
      <c r="EG25" t="str">
        <f t="shared" ca="1" si="42"/>
        <v/>
      </c>
      <c r="EH25" t="str">
        <f t="shared" ca="1" si="43"/>
        <v>Ecuador</v>
      </c>
      <c r="EJ25" t="str">
        <f t="shared" ca="1" si="44"/>
        <v/>
      </c>
      <c r="EK25" t="str">
        <f t="shared" ca="1" si="45"/>
        <v/>
      </c>
      <c r="EL25" t="str">
        <f t="shared" ca="1" si="46"/>
        <v/>
      </c>
      <c r="EM25" t="str">
        <f t="shared" ca="1" si="47"/>
        <v/>
      </c>
      <c r="EN25" t="str">
        <f t="shared" ca="1" si="48"/>
        <v/>
      </c>
      <c r="EO25">
        <f t="shared" ca="1" si="49"/>
        <v>0.26900000000000002</v>
      </c>
      <c r="EQ25" t="str">
        <f t="shared" ca="1" si="91"/>
        <v/>
      </c>
      <c r="ER25" t="str">
        <f t="shared" ca="1" si="106"/>
        <v/>
      </c>
      <c r="ES25" t="str">
        <f t="shared" ca="1" si="106"/>
        <v/>
      </c>
      <c r="ET25" t="str">
        <f t="shared" ca="1" si="106"/>
        <v/>
      </c>
      <c r="EU25" t="str">
        <f t="shared" ca="1" si="106"/>
        <v/>
      </c>
      <c r="EV25">
        <f t="shared" ca="1" si="106"/>
        <v>0.26900000000000002</v>
      </c>
      <c r="EX25" t="str">
        <f t="shared" ca="1" si="92"/>
        <v/>
      </c>
      <c r="EY25" t="str">
        <f t="shared" ca="1" si="107"/>
        <v/>
      </c>
      <c r="EZ25" t="str">
        <f t="shared" ca="1" si="107"/>
        <v/>
      </c>
      <c r="FA25" t="str">
        <f t="shared" ca="1" si="107"/>
        <v/>
      </c>
      <c r="FB25" t="str">
        <f t="shared" ca="1" si="107"/>
        <v/>
      </c>
      <c r="FE25" t="str">
        <f t="shared" ca="1" si="93"/>
        <v/>
      </c>
      <c r="FF25" t="str">
        <f t="shared" ca="1" si="108"/>
        <v/>
      </c>
      <c r="FG25" t="str">
        <f t="shared" ca="1" si="108"/>
        <v/>
      </c>
      <c r="FH25" t="str">
        <f t="shared" ca="1" si="108"/>
        <v/>
      </c>
      <c r="FI25" t="str">
        <f t="shared" ca="1" si="109"/>
        <v/>
      </c>
      <c r="FJ25">
        <f t="shared" ca="1" si="109"/>
        <v>0</v>
      </c>
      <c r="FL25" t="str">
        <f t="shared" ca="1" si="94"/>
        <v/>
      </c>
      <c r="FM25" t="str">
        <f t="shared" ca="1" si="110"/>
        <v/>
      </c>
      <c r="FN25" t="str">
        <f t="shared" ca="1" si="110"/>
        <v/>
      </c>
      <c r="FO25" t="str">
        <f t="shared" ca="1" si="110"/>
        <v/>
      </c>
      <c r="FP25" t="str">
        <f t="shared" ca="1" si="110"/>
        <v/>
      </c>
      <c r="FQ25" t="str">
        <f t="shared" ca="1" si="110"/>
        <v>-</v>
      </c>
      <c r="FS25" t="str">
        <f t="shared" ca="1" si="95"/>
        <v/>
      </c>
      <c r="FT25" t="str">
        <f t="shared" ca="1" si="111"/>
        <v/>
      </c>
      <c r="FU25" t="str">
        <f t="shared" ca="1" si="111"/>
        <v/>
      </c>
      <c r="FV25" t="str">
        <f t="shared" ca="1" si="111"/>
        <v/>
      </c>
      <c r="FW25" t="str">
        <f t="shared" ca="1" si="111"/>
        <v/>
      </c>
      <c r="FX25">
        <f t="shared" ca="1" si="111"/>
        <v>0</v>
      </c>
      <c r="FZ25" t="str">
        <f t="shared" ca="1" si="96"/>
        <v/>
      </c>
    </row>
    <row r="26" spans="1:182">
      <c r="A26">
        <v>19</v>
      </c>
      <c r="B26">
        <f ca="1">uxb_countries!D21</f>
        <v>1</v>
      </c>
      <c r="C26" t="str">
        <f ca="1">uxb_countries!B21</f>
        <v>Uruguay</v>
      </c>
      <c r="D26" t="str">
        <f ca="1">uxb_countries!A21</f>
        <v>UR</v>
      </c>
      <c r="E26" s="4">
        <f ca="1">MATCH(D26,uxb_scores_2007!$J$2:$AC$2,0)</f>
        <v>19</v>
      </c>
      <c r="G26" s="3">
        <f ca="1">IF($B26=0,"",ROUND(OFFSET(uxb_scores_2008!$I$2,G$6,$E26),2))</f>
        <v>28.33</v>
      </c>
      <c r="H26" s="3">
        <f ca="1">IF($B26=0,"",ROUND(OFFSET(uxb_scores_2008!$I$2,H$6,$E26),2))</f>
        <v>31.25</v>
      </c>
      <c r="I26" s="3">
        <f ca="1">IF($B26=0,"",ROUND(OFFSET(uxb_scores_2008!$I$2,I$6,$E26),2))</f>
        <v>45.83</v>
      </c>
      <c r="J26" s="3">
        <f ca="1">IF($B26=0,"",ROUND(OFFSET(uxb_scores_2008!$I$2,J$6,$E26),2))</f>
        <v>16.670000000000002</v>
      </c>
      <c r="K26" s="3">
        <f ca="1">IF($B26=0,"",ROUND(OFFSET(uxb_scores_2008!$I$2,K$6,$E26),2))</f>
        <v>1</v>
      </c>
      <c r="L26">
        <f ca="1">IF($B26=0,"",ROUND(OFFSET(uxb_scores_2008!$I$2,L$6,$E26),4))</f>
        <v>1.8499999999999999E-2</v>
      </c>
      <c r="U26">
        <f ca="1">IF($B26=1,RANK(G26,G$8:G$30,$B$1)+COUNTIF(G$8:G26,G26)-1,"")</f>
        <v>18</v>
      </c>
      <c r="V26">
        <f ca="1">IF($B26=1,RANK(H26,H$8:H$30,$B$1)+COUNTIF(H$8:H26,H26)-1,"")</f>
        <v>17</v>
      </c>
      <c r="W26">
        <f ca="1">IF($B26=1,RANK(I26,I$8:I$30,$B$1)+COUNTIF(I$8:I26,I26)-1,"")</f>
        <v>11</v>
      </c>
      <c r="X26">
        <f ca="1">IF($B26=1,RANK(J26,J$8:J$30,$B$1)+COUNTIF(J$8:J26,J26)-1,"")</f>
        <v>18</v>
      </c>
      <c r="Y26">
        <f ca="1">IF($B26=1,RANK(K26,K$8:K$30,$B$1)+COUNTIF(K$8:K26,K26)-1,"")</f>
        <v>19</v>
      </c>
      <c r="Z26">
        <f ca="1">IF($B26=1,RANK(L26,L$8:L$30,$B$1)+COUNTIF(L$8:L26,L26)-1,"")</f>
        <v>12</v>
      </c>
      <c r="AB26">
        <f t="shared" ca="1" si="99"/>
        <v>20</v>
      </c>
      <c r="AC26">
        <f t="shared" ca="1" si="99"/>
        <v>20</v>
      </c>
      <c r="AD26">
        <f t="shared" ca="1" si="99"/>
        <v>8</v>
      </c>
      <c r="AE26">
        <f t="shared" ca="1" si="99"/>
        <v>20</v>
      </c>
      <c r="AF26">
        <f t="shared" ca="1" si="99"/>
        <v>19</v>
      </c>
      <c r="AG26">
        <f t="shared" ca="1" si="99"/>
        <v>13</v>
      </c>
      <c r="AI26" t="str">
        <f t="shared" ca="1" si="100"/>
        <v>Venezuela</v>
      </c>
      <c r="AJ26" t="str">
        <f t="shared" ca="1" si="100"/>
        <v>Venezuela</v>
      </c>
      <c r="AK26" t="str">
        <f t="shared" ca="1" si="100"/>
        <v>Ecuador</v>
      </c>
      <c r="AL26" t="str">
        <f t="shared" ca="1" si="100"/>
        <v>Venezuela</v>
      </c>
      <c r="AM26" t="str">
        <f t="shared" ca="1" si="100"/>
        <v>Uruguay</v>
      </c>
      <c r="AN26" t="str">
        <f t="shared" ca="1" si="100"/>
        <v>Jamaica</v>
      </c>
      <c r="AP26">
        <f ca="1">IF(AI26=0,"",ROUND(INDEX(G$8:G$30,AB26),1))</f>
        <v>24.9</v>
      </c>
      <c r="AQ26">
        <f t="shared" ca="1" si="58"/>
        <v>25</v>
      </c>
      <c r="AR26">
        <f t="shared" ca="1" si="59"/>
        <v>31.7</v>
      </c>
      <c r="AS26">
        <f t="shared" ca="1" si="60"/>
        <v>16.7</v>
      </c>
      <c r="AT26">
        <f t="shared" ca="1" si="61"/>
        <v>1</v>
      </c>
      <c r="AU26" s="203">
        <f t="shared" ca="1" si="62"/>
        <v>0</v>
      </c>
      <c r="AV26" s="203"/>
      <c r="AW26" s="206">
        <f t="shared" ca="1" si="63"/>
        <v>19</v>
      </c>
      <c r="AX26" s="206">
        <f t="shared" ca="1" si="101"/>
        <v>18</v>
      </c>
      <c r="AY26" s="206">
        <f t="shared" ca="1" si="101"/>
        <v>19</v>
      </c>
      <c r="AZ26" s="206">
        <f t="shared" ca="1" si="101"/>
        <v>17</v>
      </c>
      <c r="BA26" s="206">
        <f t="shared" ca="1" si="102"/>
        <v>13</v>
      </c>
      <c r="BB26" s="206">
        <f t="shared" ca="1" si="102"/>
        <v>16</v>
      </c>
      <c r="BC26" s="206"/>
      <c r="BD26" s="186">
        <f t="shared" ca="1" si="97"/>
        <v>19</v>
      </c>
      <c r="BE26" s="186" t="str">
        <f t="shared" ca="1" si="112"/>
        <v>=18</v>
      </c>
      <c r="BF26" s="186">
        <f t="shared" ca="1" si="112"/>
        <v>19</v>
      </c>
      <c r="BG26" s="186" t="str">
        <f t="shared" ca="1" si="112"/>
        <v>=17</v>
      </c>
      <c r="BH26" s="186" t="str">
        <f t="shared" ca="1" si="112"/>
        <v>=13</v>
      </c>
      <c r="BI26" s="186" t="str">
        <f t="shared" ca="1" si="112"/>
        <v>=16</v>
      </c>
      <c r="BK26">
        <f ca="1">IF($B26=0,"",ROUND(OFFSET(uxb_scores_2007!$I$2,G$6,AB26),1))</f>
        <v>27.4</v>
      </c>
      <c r="BL26">
        <f ca="1">IF($B26=0,"",ROUND(OFFSET(uxb_scores_2007!$I$2,H$6,AC26),1))</f>
        <v>31.3</v>
      </c>
      <c r="BM26">
        <f ca="1">IF($B26=0,"",ROUND(OFFSET(uxb_scores_2007!$I$2,I$6,AD26),1))</f>
        <v>41.3</v>
      </c>
      <c r="BN26">
        <f ca="1">IF($B26=0,"",ROUND(OFFSET(uxb_scores_2007!$I$2,J$6,AE26),1))</f>
        <v>16.7</v>
      </c>
      <c r="BO26">
        <f ca="1">IF($B26=0,"",ROUND(OFFSET(uxb_scores_2007!$I$2,K$6,AF26),1))</f>
        <v>1</v>
      </c>
      <c r="BP26" s="203">
        <f ca="1">IF($B26=0,"",ROUND(OFFSET(uxb_scores_2007!$I$2,L$6,AG26),4))</f>
        <v>0</v>
      </c>
      <c r="BR26">
        <f t="shared" ca="1" si="64"/>
        <v>14</v>
      </c>
      <c r="BS26">
        <f t="shared" ca="1" si="65"/>
        <v>14</v>
      </c>
      <c r="BT26">
        <f t="shared" ca="1" si="66"/>
        <v>10</v>
      </c>
      <c r="BU26">
        <f t="shared" ca="1" si="67"/>
        <v>15</v>
      </c>
      <c r="BV26">
        <f t="shared" ca="1" si="68"/>
        <v>10</v>
      </c>
      <c r="BW26">
        <f t="shared" ca="1" si="69"/>
        <v>16</v>
      </c>
      <c r="BY26">
        <f t="shared" ca="1" si="26"/>
        <v>-2.5</v>
      </c>
      <c r="BZ26">
        <f t="shared" ca="1" si="27"/>
        <v>-6.3</v>
      </c>
      <c r="CA26">
        <f t="shared" ca="1" si="28"/>
        <v>-9.6</v>
      </c>
      <c r="CB26">
        <f t="shared" ca="1" si="29"/>
        <v>0</v>
      </c>
      <c r="CC26">
        <f t="shared" ca="1" si="30"/>
        <v>0</v>
      </c>
      <c r="CD26">
        <f t="shared" ca="1" si="31"/>
        <v>0</v>
      </c>
      <c r="CF26" s="206">
        <f t="shared" ca="1" si="70"/>
        <v>-5</v>
      </c>
      <c r="CG26" s="206">
        <f t="shared" ca="1" si="71"/>
        <v>-4</v>
      </c>
      <c r="CH26" s="206">
        <f t="shared" ca="1" si="72"/>
        <v>-9</v>
      </c>
      <c r="CI26" s="206">
        <f t="shared" ca="1" si="73"/>
        <v>-2</v>
      </c>
      <c r="CJ26" s="206">
        <f t="shared" ca="1" si="74"/>
        <v>-3</v>
      </c>
      <c r="CK26" s="206">
        <f t="shared" ca="1" si="75"/>
        <v>0</v>
      </c>
      <c r="CM26" t="str">
        <f t="shared" ca="1" si="76"/>
        <v>-2.5</v>
      </c>
      <c r="CN26" t="str">
        <f t="shared" ca="1" si="103"/>
        <v>-6.3</v>
      </c>
      <c r="CO26" t="str">
        <f t="shared" ca="1" si="103"/>
        <v>-9.6</v>
      </c>
      <c r="CP26" t="str">
        <f t="shared" ca="1" si="103"/>
        <v>-</v>
      </c>
      <c r="CQ26" t="str">
        <f t="shared" ca="1" si="103"/>
        <v>-</v>
      </c>
      <c r="CR26" t="str">
        <f t="shared" ca="1" si="103"/>
        <v>-</v>
      </c>
      <c r="CT26">
        <f t="shared" ca="1" si="77"/>
        <v>-1</v>
      </c>
      <c r="CU26">
        <f t="shared" ca="1" si="104"/>
        <v>-1</v>
      </c>
      <c r="CV26">
        <f t="shared" ca="1" si="104"/>
        <v>-1</v>
      </c>
      <c r="CW26">
        <f t="shared" ca="1" si="104"/>
        <v>0</v>
      </c>
      <c r="CX26">
        <f t="shared" ca="1" si="104"/>
        <v>0</v>
      </c>
      <c r="CY26">
        <f t="shared" ca="1" si="104"/>
        <v>0</v>
      </c>
      <c r="DA26" t="str">
        <f t="shared" ca="1" si="78"/>
        <v>-5</v>
      </c>
      <c r="DB26" t="str">
        <f t="shared" ca="1" si="79"/>
        <v>-4</v>
      </c>
      <c r="DC26" t="str">
        <f t="shared" ca="1" si="80"/>
        <v>-9</v>
      </c>
      <c r="DD26" t="str">
        <f t="shared" ca="1" si="81"/>
        <v>-2</v>
      </c>
      <c r="DE26" t="str">
        <f t="shared" ca="1" si="82"/>
        <v>-3</v>
      </c>
      <c r="DF26" t="str">
        <f t="shared" ca="1" si="83"/>
        <v>-</v>
      </c>
      <c r="DH26">
        <f t="shared" ca="1" si="84"/>
        <v>-1</v>
      </c>
      <c r="DI26">
        <f t="shared" ca="1" si="85"/>
        <v>-1</v>
      </c>
      <c r="DJ26">
        <f t="shared" ca="1" si="86"/>
        <v>-1</v>
      </c>
      <c r="DK26">
        <f t="shared" ca="1" si="87"/>
        <v>-1</v>
      </c>
      <c r="DL26">
        <f t="shared" ca="1" si="88"/>
        <v>-1</v>
      </c>
      <c r="DM26">
        <f t="shared" ca="1" si="89"/>
        <v>0</v>
      </c>
      <c r="DO26">
        <f ca="1">RANK(BY26,BY$8:BY$27)+COUNTIF(BY26:BY$27,BY26)-1</f>
        <v>9</v>
      </c>
      <c r="DP26">
        <f ca="1">RANK(BZ26,BZ$8:BZ$27)+COUNTIF(BZ26:BZ$27,BZ26)-1</f>
        <v>13</v>
      </c>
      <c r="DQ26">
        <f ca="1">RANK(CA26,CA$8:CA$27)+COUNTIF(CA26:CA$27,CA26)-1</f>
        <v>15</v>
      </c>
      <c r="DR26">
        <f ca="1">RANK(CB26,CB$8:CB$27)+COUNTIF(CB26:CB$27,CB26)-1</f>
        <v>6</v>
      </c>
      <c r="DS26">
        <f ca="1">RANK(CC26,CC$8:CC$27)+COUNTIF(CC26:CC$27,CC26)-1</f>
        <v>5</v>
      </c>
      <c r="DT26">
        <f ca="1">RANK(CD26,CD$8:CD$27)+COUNTIF(CD26:CD$27,CD26)-1</f>
        <v>2</v>
      </c>
      <c r="DV26">
        <f t="shared" ca="1" si="90"/>
        <v>0</v>
      </c>
      <c r="DW26">
        <f t="shared" ca="1" si="105"/>
        <v>0</v>
      </c>
      <c r="DX26">
        <f t="shared" ca="1" si="105"/>
        <v>0</v>
      </c>
      <c r="DY26">
        <f t="shared" ca="1" si="105"/>
        <v>0</v>
      </c>
      <c r="DZ26">
        <f t="shared" ca="1" si="105"/>
        <v>0</v>
      </c>
      <c r="EA26">
        <f t="shared" ca="1" si="105"/>
        <v>2</v>
      </c>
      <c r="EC26" t="str">
        <f t="shared" ca="1" si="38"/>
        <v/>
      </c>
      <c r="ED26" t="str">
        <f t="shared" ca="1" si="39"/>
        <v/>
      </c>
      <c r="EE26" t="str">
        <f t="shared" ca="1" si="40"/>
        <v/>
      </c>
      <c r="EF26" t="str">
        <f t="shared" ca="1" si="41"/>
        <v/>
      </c>
      <c r="EG26" t="str">
        <f t="shared" ca="1" si="42"/>
        <v/>
      </c>
      <c r="EH26" t="str">
        <f t="shared" ca="1" si="43"/>
        <v>Bolivia</v>
      </c>
      <c r="EJ26" t="str">
        <f t="shared" ca="1" si="44"/>
        <v/>
      </c>
      <c r="EK26" t="str">
        <f t="shared" ca="1" si="45"/>
        <v/>
      </c>
      <c r="EL26" t="str">
        <f t="shared" ca="1" si="46"/>
        <v/>
      </c>
      <c r="EM26" t="str">
        <f t="shared" ca="1" si="47"/>
        <v/>
      </c>
      <c r="EN26" t="str">
        <f t="shared" ca="1" si="48"/>
        <v/>
      </c>
      <c r="EO26">
        <f t="shared" ca="1" si="49"/>
        <v>0.31559999999999999</v>
      </c>
      <c r="EQ26" t="str">
        <f t="shared" ca="1" si="91"/>
        <v/>
      </c>
      <c r="ER26" t="str">
        <f t="shared" ca="1" si="106"/>
        <v/>
      </c>
      <c r="ES26" t="str">
        <f t="shared" ca="1" si="106"/>
        <v/>
      </c>
      <c r="ET26" t="str">
        <f t="shared" ca="1" si="106"/>
        <v/>
      </c>
      <c r="EU26" t="str">
        <f t="shared" ca="1" si="106"/>
        <v/>
      </c>
      <c r="EV26">
        <f t="shared" ca="1" si="106"/>
        <v>0.31559999999999999</v>
      </c>
      <c r="EX26" t="str">
        <f t="shared" ca="1" si="92"/>
        <v/>
      </c>
      <c r="EY26" t="str">
        <f t="shared" ca="1" si="107"/>
        <v/>
      </c>
      <c r="EZ26" t="str">
        <f t="shared" ca="1" si="107"/>
        <v/>
      </c>
      <c r="FA26" t="str">
        <f t="shared" ca="1" si="107"/>
        <v/>
      </c>
      <c r="FB26" t="str">
        <f t="shared" ca="1" si="107"/>
        <v/>
      </c>
      <c r="FE26" t="str">
        <f t="shared" ca="1" si="93"/>
        <v/>
      </c>
      <c r="FF26" t="str">
        <f t="shared" ca="1" si="108"/>
        <v/>
      </c>
      <c r="FG26" t="str">
        <f t="shared" ca="1" si="108"/>
        <v/>
      </c>
      <c r="FH26" t="str">
        <f t="shared" ca="1" si="108"/>
        <v/>
      </c>
      <c r="FI26" t="str">
        <f t="shared" ca="1" si="109"/>
        <v/>
      </c>
      <c r="FJ26">
        <f t="shared" ca="1" si="109"/>
        <v>0</v>
      </c>
      <c r="FL26" t="str">
        <f t="shared" ca="1" si="94"/>
        <v/>
      </c>
      <c r="FM26" t="str">
        <f t="shared" ca="1" si="110"/>
        <v/>
      </c>
      <c r="FN26" t="str">
        <f t="shared" ca="1" si="110"/>
        <v/>
      </c>
      <c r="FO26" t="str">
        <f t="shared" ca="1" si="110"/>
        <v/>
      </c>
      <c r="FP26" t="str">
        <f t="shared" ca="1" si="110"/>
        <v/>
      </c>
      <c r="FQ26" t="str">
        <f t="shared" ca="1" si="110"/>
        <v>-</v>
      </c>
      <c r="FS26" t="str">
        <f t="shared" ca="1" si="95"/>
        <v/>
      </c>
      <c r="FT26" t="str">
        <f t="shared" ca="1" si="111"/>
        <v/>
      </c>
      <c r="FU26" t="str">
        <f t="shared" ca="1" si="111"/>
        <v/>
      </c>
      <c r="FV26" t="str">
        <f t="shared" ca="1" si="111"/>
        <v/>
      </c>
      <c r="FW26" t="str">
        <f t="shared" ca="1" si="111"/>
        <v/>
      </c>
      <c r="FX26">
        <f t="shared" ca="1" si="111"/>
        <v>0</v>
      </c>
      <c r="FZ26" t="str">
        <f t="shared" ca="1" si="96"/>
        <v/>
      </c>
    </row>
    <row r="27" spans="1:182">
      <c r="A27">
        <v>20</v>
      </c>
      <c r="B27">
        <f ca="1">uxb_countries!D22</f>
        <v>1</v>
      </c>
      <c r="C27" t="str">
        <f ca="1">uxb_countries!B22</f>
        <v>Venezuela</v>
      </c>
      <c r="D27" t="str">
        <f ca="1">uxb_countries!A22</f>
        <v>VE</v>
      </c>
      <c r="E27" s="4">
        <f ca="1">MATCH(D27,uxb_scores_2007!$J$2:$AC$2,0)</f>
        <v>20</v>
      </c>
      <c r="G27" s="3">
        <f ca="1">IF($B27=0,"",ROUND(OFFSET(uxb_scores_2008!$I$2,G$6,$E27),2))</f>
        <v>24.94</v>
      </c>
      <c r="H27" s="3">
        <f ca="1">IF($B27=0,"",ROUND(OFFSET(uxb_scores_2008!$I$2,H$6,$E27),2))</f>
        <v>25</v>
      </c>
      <c r="I27" s="3">
        <f ca="1">IF($B27=0,"",ROUND(OFFSET(uxb_scores_2008!$I$2,I$6,$E27),2))</f>
        <v>41.38</v>
      </c>
      <c r="J27" s="3">
        <f ca="1">IF($B27=0,"",ROUND(OFFSET(uxb_scores_2008!$I$2,J$6,$E27),2))</f>
        <v>16.670000000000002</v>
      </c>
      <c r="K27" s="3">
        <f ca="1">IF($B27=0,"",ROUND(OFFSET(uxb_scores_2008!$I$2,K$6,$E27),2))</f>
        <v>1</v>
      </c>
      <c r="L27">
        <f ca="1">IF($B27=0,"",ROUND(OFFSET(uxb_scores_2008!$I$2,L$6,$E27),4))</f>
        <v>1.38E-2</v>
      </c>
      <c r="U27">
        <f ca="1">IF($B27=1,RANK(G27,G$8:G$30,$B$1)+COUNTIF(G$8:G27,G27)-1,"")</f>
        <v>19</v>
      </c>
      <c r="V27">
        <f ca="1">IF($B27=1,RANK(H27,H$8:H$30,$B$1)+COUNTIF(H$8:H27,H27)-1,"")</f>
        <v>19</v>
      </c>
      <c r="W27">
        <f ca="1">IF($B27=1,RANK(I27,I$8:I$30,$B$1)+COUNTIF(I$8:I27,I27)-1,"")</f>
        <v>13</v>
      </c>
      <c r="X27">
        <f ca="1">IF($B27=1,RANK(J27,J$8:J$30,$B$1)+COUNTIF(J$8:J27,J27)-1,"")</f>
        <v>19</v>
      </c>
      <c r="Y27">
        <f ca="1">IF($B27=1,RANK(K27,K$8:K$30,$B$1)+COUNTIF(K$8:K27,K27)-1,"")</f>
        <v>20</v>
      </c>
      <c r="Z27">
        <f ca="1">IF($B27=1,RANK(L27,L$8:L$30,$B$1)+COUNTIF(L$8:L27,L27)-1,"")</f>
        <v>13</v>
      </c>
      <c r="AB27">
        <f t="shared" ca="1" si="99"/>
        <v>13</v>
      </c>
      <c r="AC27">
        <f t="shared" ca="1" si="99"/>
        <v>1</v>
      </c>
      <c r="AD27">
        <f t="shared" ca="1" si="99"/>
        <v>11</v>
      </c>
      <c r="AE27">
        <f t="shared" ca="1" si="99"/>
        <v>13</v>
      </c>
      <c r="AF27">
        <f t="shared" ca="1" si="99"/>
        <v>20</v>
      </c>
      <c r="AG27">
        <f t="shared" ca="1" si="99"/>
        <v>16</v>
      </c>
      <c r="AI27" t="str">
        <f t="shared" ca="1" si="100"/>
        <v>Jamaica</v>
      </c>
      <c r="AJ27" t="str">
        <f t="shared" ca="1" si="100"/>
        <v>Argentina</v>
      </c>
      <c r="AK27" t="str">
        <f t="shared" ca="1" si="100"/>
        <v>Haiti</v>
      </c>
      <c r="AL27" t="str">
        <f t="shared" ca="1" si="100"/>
        <v>Jamaica</v>
      </c>
      <c r="AM27" t="str">
        <f t="shared" ca="1" si="100"/>
        <v>Venezuela</v>
      </c>
      <c r="AN27" t="str">
        <f t="shared" ca="1" si="100"/>
        <v>Panama</v>
      </c>
      <c r="AP27">
        <f ca="1">IF(AI27=0,"",ROUND(INDEX(G$8:G$30,AB27),1))</f>
        <v>21.2</v>
      </c>
      <c r="AQ27">
        <f t="shared" ca="1" si="58"/>
        <v>18.8</v>
      </c>
      <c r="AR27">
        <f t="shared" ca="1" si="59"/>
        <v>30</v>
      </c>
      <c r="AS27">
        <f t="shared" ca="1" si="60"/>
        <v>0</v>
      </c>
      <c r="AT27">
        <f t="shared" ca="1" si="61"/>
        <v>1</v>
      </c>
      <c r="AU27" s="203">
        <f t="shared" ca="1" si="62"/>
        <v>0</v>
      </c>
      <c r="AV27" s="203"/>
      <c r="AW27" s="206">
        <f t="shared" ca="1" si="63"/>
        <v>20</v>
      </c>
      <c r="AX27" s="206">
        <f t="shared" ca="1" si="101"/>
        <v>20</v>
      </c>
      <c r="AY27" s="206">
        <f t="shared" ca="1" si="101"/>
        <v>20</v>
      </c>
      <c r="AZ27" s="206">
        <f t="shared" ca="1" si="101"/>
        <v>20</v>
      </c>
      <c r="BA27" s="206">
        <f t="shared" ca="1" si="102"/>
        <v>13</v>
      </c>
      <c r="BB27" s="206">
        <f t="shared" ca="1" si="102"/>
        <v>16</v>
      </c>
      <c r="BC27" s="206"/>
      <c r="BD27" s="186">
        <f t="shared" ca="1" si="97"/>
        <v>20</v>
      </c>
      <c r="BE27" s="186">
        <f t="shared" ca="1" si="112"/>
        <v>20</v>
      </c>
      <c r="BF27" s="186">
        <f t="shared" ca="1" si="112"/>
        <v>20</v>
      </c>
      <c r="BG27" s="186">
        <f t="shared" ca="1" si="112"/>
        <v>20</v>
      </c>
      <c r="BH27" s="186" t="str">
        <f t="shared" ca="1" si="112"/>
        <v>=13</v>
      </c>
      <c r="BI27" s="186" t="str">
        <f t="shared" ca="1" si="112"/>
        <v>=16</v>
      </c>
      <c r="BK27">
        <f ca="1">IF($B27=0,"",ROUND(OFFSET(uxb_scores_2007!$I$2,G$6,AB27),1))</f>
        <v>-1</v>
      </c>
      <c r="BL27">
        <f ca="1">IF($B27=0,"",ROUND(OFFSET(uxb_scores_2007!$I$2,H$6,AC27),1))</f>
        <v>18.8</v>
      </c>
      <c r="BM27">
        <f ca="1">IF($B27=0,"",ROUND(OFFSET(uxb_scores_2007!$I$2,I$6,AD27),1))</f>
        <v>-1</v>
      </c>
      <c r="BN27">
        <f ca="1">IF($B27=0,"",ROUND(OFFSET(uxb_scores_2007!$I$2,J$6,AE27),1))</f>
        <v>-1</v>
      </c>
      <c r="BO27">
        <f ca="1">IF($B27=0,"",ROUND(OFFSET(uxb_scores_2007!$I$2,K$6,AF27),1))</f>
        <v>1</v>
      </c>
      <c r="BP27" s="203">
        <f ca="1">IF($B27=0,"",ROUND(OFFSET(uxb_scores_2007!$I$2,L$6,AG27),4))</f>
        <v>0</v>
      </c>
      <c r="BR27">
        <f t="shared" ca="1" si="64"/>
        <v>16</v>
      </c>
      <c r="BS27">
        <f t="shared" ca="1" si="65"/>
        <v>15</v>
      </c>
      <c r="BT27">
        <f t="shared" ca="1" si="66"/>
        <v>16</v>
      </c>
      <c r="BU27">
        <f t="shared" ca="1" si="67"/>
        <v>16</v>
      </c>
      <c r="BV27">
        <f t="shared" ca="1" si="68"/>
        <v>10</v>
      </c>
      <c r="BW27">
        <f t="shared" ca="1" si="69"/>
        <v>16</v>
      </c>
      <c r="BY27" t="str">
        <f t="shared" ca="1" si="26"/>
        <v>new</v>
      </c>
      <c r="BZ27">
        <f t="shared" ca="1" si="27"/>
        <v>0</v>
      </c>
      <c r="CA27" t="str">
        <f t="shared" ca="1" si="28"/>
        <v>new</v>
      </c>
      <c r="CB27" t="str">
        <f t="shared" ca="1" si="29"/>
        <v>new</v>
      </c>
      <c r="CC27">
        <f t="shared" ca="1" si="30"/>
        <v>0</v>
      </c>
      <c r="CD27">
        <f t="shared" ca="1" si="31"/>
        <v>0</v>
      </c>
      <c r="CF27" s="206">
        <f t="shared" ca="1" si="70"/>
        <v>-4</v>
      </c>
      <c r="CG27" s="206">
        <f t="shared" ca="1" si="71"/>
        <v>-5</v>
      </c>
      <c r="CH27" s="206">
        <f t="shared" ca="1" si="72"/>
        <v>-4</v>
      </c>
      <c r="CI27" s="206">
        <f t="shared" ca="1" si="73"/>
        <v>-4</v>
      </c>
      <c r="CJ27" s="206">
        <f t="shared" ca="1" si="74"/>
        <v>-3</v>
      </c>
      <c r="CK27" s="206">
        <f t="shared" ca="1" si="75"/>
        <v>0</v>
      </c>
      <c r="CM27" t="str">
        <f t="shared" ca="1" si="76"/>
        <v>new</v>
      </c>
      <c r="CN27" t="str">
        <f t="shared" ca="1" si="103"/>
        <v>-</v>
      </c>
      <c r="CO27" t="str">
        <f t="shared" ca="1" si="103"/>
        <v>new</v>
      </c>
      <c r="CP27" t="str">
        <f t="shared" ca="1" si="103"/>
        <v>new</v>
      </c>
      <c r="CQ27" t="str">
        <f t="shared" ca="1" si="103"/>
        <v>-</v>
      </c>
      <c r="CR27" t="str">
        <f t="shared" ca="1" si="103"/>
        <v>-</v>
      </c>
      <c r="CT27">
        <f t="shared" ca="1" si="77"/>
        <v>0</v>
      </c>
      <c r="CU27">
        <f t="shared" ca="1" si="104"/>
        <v>0</v>
      </c>
      <c r="CV27">
        <f t="shared" ca="1" si="104"/>
        <v>0</v>
      </c>
      <c r="CW27">
        <f t="shared" ca="1" si="104"/>
        <v>0</v>
      </c>
      <c r="CX27">
        <f t="shared" ca="1" si="104"/>
        <v>0</v>
      </c>
      <c r="CY27">
        <f t="shared" ca="1" si="104"/>
        <v>0</v>
      </c>
      <c r="DA27" t="str">
        <f t="shared" ca="1" si="78"/>
        <v/>
      </c>
      <c r="DB27" t="str">
        <f t="shared" ca="1" si="79"/>
        <v>-5</v>
      </c>
      <c r="DC27" t="str">
        <f t="shared" ca="1" si="80"/>
        <v/>
      </c>
      <c r="DD27" t="str">
        <f t="shared" ca="1" si="81"/>
        <v/>
      </c>
      <c r="DE27" t="str">
        <f t="shared" ca="1" si="82"/>
        <v>-3</v>
      </c>
      <c r="DF27" t="str">
        <f t="shared" ca="1" si="83"/>
        <v>-</v>
      </c>
      <c r="DH27">
        <f t="shared" ca="1" si="84"/>
        <v>0</v>
      </c>
      <c r="DI27">
        <f t="shared" ca="1" si="85"/>
        <v>-1</v>
      </c>
      <c r="DJ27">
        <f t="shared" ca="1" si="86"/>
        <v>0</v>
      </c>
      <c r="DK27">
        <f t="shared" ca="1" si="87"/>
        <v>0</v>
      </c>
      <c r="DL27">
        <f t="shared" ca="1" si="88"/>
        <v>-1</v>
      </c>
      <c r="DM27">
        <f t="shared" ca="1" si="89"/>
        <v>0</v>
      </c>
      <c r="DO27" t="e">
        <f ca="1">RANK(BY27,BY$8:BY$27)+COUNTIF(BY27:BY$27,BY27)-1</f>
        <v>#VALUE!</v>
      </c>
      <c r="DP27">
        <f ca="1">RANK(BZ27,BZ$8:BZ$27)+COUNTIF(BZ27:BZ$27,BZ27)-1</f>
        <v>4</v>
      </c>
      <c r="DQ27" t="e">
        <f ca="1">RANK(CA27,CA$8:CA$27)+COUNTIF(CA27:CA$27,CA27)-1</f>
        <v>#VALUE!</v>
      </c>
      <c r="DR27" t="e">
        <f ca="1">RANK(CB27,CB$8:CB$27)+COUNTIF(CB27:CB$27,CB27)-1</f>
        <v>#VALUE!</v>
      </c>
      <c r="DS27">
        <f ca="1">RANK(CC27,CC$8:CC$27)+COUNTIF(CC27:CC$27,CC27)-1</f>
        <v>4</v>
      </c>
      <c r="DT27">
        <f ca="1">RANK(CD27,CD$8:CD$27)+COUNTIF(CD27:CD$27,CD27)-1</f>
        <v>1</v>
      </c>
      <c r="DV27">
        <f t="shared" ca="1" si="90"/>
        <v>0</v>
      </c>
      <c r="DW27">
        <f t="shared" ca="1" si="105"/>
        <v>0</v>
      </c>
      <c r="DX27">
        <f t="shared" ca="1" si="105"/>
        <v>0</v>
      </c>
      <c r="DY27">
        <f t="shared" ca="1" si="105"/>
        <v>0</v>
      </c>
      <c r="DZ27">
        <f t="shared" ca="1" si="105"/>
        <v>0</v>
      </c>
      <c r="EA27">
        <f t="shared" ca="1" si="105"/>
        <v>1</v>
      </c>
      <c r="EC27" t="str">
        <f t="shared" ca="1" si="38"/>
        <v/>
      </c>
      <c r="ED27" t="str">
        <f t="shared" ca="1" si="39"/>
        <v/>
      </c>
      <c r="EE27" t="str">
        <f t="shared" ca="1" si="40"/>
        <v/>
      </c>
      <c r="EF27" t="str">
        <f t="shared" ca="1" si="41"/>
        <v/>
      </c>
      <c r="EG27" t="str">
        <f t="shared" ca="1" si="42"/>
        <v/>
      </c>
      <c r="EH27" t="str">
        <f t="shared" ca="1" si="43"/>
        <v>Nicaragua</v>
      </c>
      <c r="EJ27" t="str">
        <f t="shared" ca="1" si="44"/>
        <v/>
      </c>
      <c r="EK27" t="str">
        <f t="shared" ca="1" si="45"/>
        <v/>
      </c>
      <c r="EL27" t="str">
        <f t="shared" ca="1" si="46"/>
        <v/>
      </c>
      <c r="EM27" t="str">
        <f t="shared" ca="1" si="47"/>
        <v/>
      </c>
      <c r="EN27" t="str">
        <f t="shared" ca="1" si="48"/>
        <v/>
      </c>
      <c r="EO27">
        <f t="shared" ca="1" si="49"/>
        <v>0.58350000000000002</v>
      </c>
      <c r="EQ27" t="str">
        <f t="shared" ca="1" si="91"/>
        <v/>
      </c>
      <c r="ER27" t="str">
        <f t="shared" ca="1" si="106"/>
        <v/>
      </c>
      <c r="ES27" t="str">
        <f t="shared" ca="1" si="106"/>
        <v/>
      </c>
      <c r="ET27" t="str">
        <f t="shared" ca="1" si="106"/>
        <v/>
      </c>
      <c r="EU27" t="str">
        <f t="shared" ca="1" si="106"/>
        <v/>
      </c>
      <c r="EV27">
        <f t="shared" ca="1" si="106"/>
        <v>0.58350000000000002</v>
      </c>
      <c r="EX27" t="str">
        <f ca="1">IF(DV27=0,"",INDEX(CM$8:CM$30,DV27))</f>
        <v/>
      </c>
      <c r="EY27" t="str">
        <f t="shared" ca="1" si="107"/>
        <v/>
      </c>
      <c r="EZ27" t="str">
        <f t="shared" ca="1" si="107"/>
        <v/>
      </c>
      <c r="FA27" t="str">
        <f t="shared" ca="1" si="107"/>
        <v/>
      </c>
      <c r="FB27" t="str">
        <f t="shared" ca="1" si="107"/>
        <v/>
      </c>
      <c r="FE27" t="str">
        <f t="shared" ca="1" si="93"/>
        <v/>
      </c>
      <c r="FF27" t="str">
        <f t="shared" ca="1" si="108"/>
        <v/>
      </c>
      <c r="FG27" t="str">
        <f t="shared" ca="1" si="108"/>
        <v/>
      </c>
      <c r="FH27" t="str">
        <f t="shared" ca="1" si="108"/>
        <v/>
      </c>
      <c r="FI27" t="str">
        <f t="shared" ca="1" si="109"/>
        <v/>
      </c>
      <c r="FJ27">
        <f t="shared" ca="1" si="109"/>
        <v>0</v>
      </c>
      <c r="FL27" t="str">
        <f t="shared" ca="1" si="94"/>
        <v/>
      </c>
      <c r="FM27" t="str">
        <f t="shared" ca="1" si="110"/>
        <v/>
      </c>
      <c r="FN27" t="str">
        <f t="shared" ca="1" si="110"/>
        <v/>
      </c>
      <c r="FO27" t="str">
        <f t="shared" ca="1" si="110"/>
        <v/>
      </c>
      <c r="FP27" t="str">
        <f t="shared" ca="1" si="110"/>
        <v/>
      </c>
      <c r="FQ27" t="str">
        <f t="shared" ca="1" si="110"/>
        <v>-</v>
      </c>
      <c r="FS27" t="str">
        <f t="shared" ca="1" si="95"/>
        <v/>
      </c>
      <c r="FT27" t="str">
        <f t="shared" ca="1" si="111"/>
        <v/>
      </c>
      <c r="FU27" t="str">
        <f t="shared" ca="1" si="111"/>
        <v/>
      </c>
      <c r="FV27" t="str">
        <f t="shared" ca="1" si="111"/>
        <v/>
      </c>
      <c r="FW27" t="str">
        <f t="shared" ca="1" si="111"/>
        <v/>
      </c>
      <c r="FX27">
        <f t="shared" ca="1" si="111"/>
        <v>0</v>
      </c>
      <c r="FZ27" t="str">
        <f t="shared" ca="1" si="96"/>
        <v/>
      </c>
    </row>
    <row r="28" spans="1:182">
      <c r="G28" s="3"/>
      <c r="H28" s="3"/>
      <c r="I28" s="3"/>
      <c r="J28" s="3"/>
      <c r="K28" s="3"/>
    </row>
    <row r="29" spans="1:182">
      <c r="G29" s="3"/>
      <c r="H29" s="3"/>
      <c r="I29" s="3"/>
      <c r="J29" s="3"/>
      <c r="K29" s="3"/>
    </row>
    <row r="30" spans="1:182">
      <c r="G30" s="3"/>
      <c r="H30" s="3"/>
      <c r="I30" s="3"/>
      <c r="J30" s="3"/>
      <c r="K30" s="3"/>
    </row>
    <row r="31" spans="1:182" ht="6" customHeight="1"/>
    <row r="32" spans="1:182" ht="6" customHeight="1">
      <c r="G32" s="3"/>
      <c r="H32" s="3"/>
      <c r="I32" s="3"/>
      <c r="J32" s="3"/>
      <c r="K32" s="3"/>
    </row>
    <row r="33" spans="1:67" ht="6" customHeight="1"/>
    <row r="36" spans="1:67">
      <c r="C36" t="s">
        <v>506</v>
      </c>
      <c r="G36" s="3"/>
      <c r="H36" s="3"/>
      <c r="I36" s="3"/>
      <c r="J36" s="3"/>
      <c r="K36" s="3"/>
    </row>
    <row r="37" spans="1:67">
      <c r="A37">
        <v>1</v>
      </c>
      <c r="B37">
        <v>1</v>
      </c>
      <c r="C37" t="str">
        <f ca="1">uxb_globals!B24</f>
        <v>Peru</v>
      </c>
      <c r="D37" t="str">
        <f ca="1">uxb_globals!B30</f>
        <v>PE</v>
      </c>
      <c r="E37" s="4">
        <f ca="1">MATCH(D37,uxb_scores_2007!$J$2:$AD$2,0)</f>
        <v>18</v>
      </c>
      <c r="G37" s="3">
        <f ca="1">IF($B37=0,"",ROUND(OFFSET(uxb_scores_2008!$I$2,G$6,$E37),2))</f>
        <v>76.61</v>
      </c>
      <c r="H37" s="3">
        <f ca="1">IF($B37=0,"",ROUND(OFFSET(uxb_scores_2008!$I$2,H$6,$E37),2))</f>
        <v>87.5</v>
      </c>
      <c r="I37" s="3">
        <f ca="1">IF($B37=0,"",ROUND(OFFSET(uxb_scores_2008!$I$2,I$6,$E37),2))</f>
        <v>58.04</v>
      </c>
      <c r="J37" s="3">
        <f ca="1">IF($B37=0,"",ROUND(OFFSET(uxb_scores_2008!$I$2,J$6,$E37),2))</f>
        <v>75</v>
      </c>
      <c r="K37" s="3">
        <f ca="1">IF($B37=0,"",ROUND(OFFSET(uxb_scores_2008!$I$2,K$6,$E37),2))</f>
        <v>4</v>
      </c>
      <c r="U37">
        <f ca="1">IF($B37=1,RANK(G37,G$37:G$40,$B$1)+COUNTIF(G$37:G37,G37)-1,"")</f>
        <v>1</v>
      </c>
      <c r="V37">
        <f ca="1">IF($B37=1,RANK(H37,H$37:H$40,$B$1)+COUNTIF(H$37:H37,H37)-1,"")</f>
        <v>1</v>
      </c>
      <c r="W37">
        <f ca="1">IF($B37=1,RANK(I37,I$37:I$40,$B$1)+COUNTIF(I$37:I37,I37)-1,"")</f>
        <v>2</v>
      </c>
      <c r="X37">
        <f ca="1">IF($B37=1,RANK(J37,J$37:J$40,$B$1)+COUNTIF(J$37:J37,J37)-1,"")</f>
        <v>2</v>
      </c>
      <c r="Y37">
        <f ca="1">IF($B37=1,RANK(K37,K$37:K$40,$B$1)+COUNTIF(K$37:K37,K37)-1,"")</f>
        <v>1</v>
      </c>
      <c r="AB37">
        <f t="shared" ref="AB37:AF40" ca="1" si="113">IF(ISERROR(MATCH($A37,U$37:U$40,0)),0,MATCH($A37,U$37:U$40,0))</f>
        <v>1</v>
      </c>
      <c r="AC37">
        <f t="shared" ca="1" si="113"/>
        <v>1</v>
      </c>
      <c r="AD37">
        <f t="shared" ca="1" si="113"/>
        <v>2</v>
      </c>
      <c r="AE37">
        <f t="shared" ca="1" si="113"/>
        <v>3</v>
      </c>
      <c r="AF37">
        <f t="shared" ca="1" si="113"/>
        <v>1</v>
      </c>
      <c r="AI37" t="str">
        <f ca="1">IF(AB37=0,"",INDEX($C$37:$C$40,AB37))</f>
        <v>Peru</v>
      </c>
      <c r="AJ37" t="str">
        <f t="shared" ref="AJ37:AM40" ca="1" si="114">IF(AC37=0,"",INDEX($C$37:$C$40,AC37))</f>
        <v>Peru</v>
      </c>
      <c r="AK37" t="str">
        <f t="shared" ca="1" si="114"/>
        <v>Costa Rica</v>
      </c>
      <c r="AL37" t="str">
        <f t="shared" ca="1" si="114"/>
        <v>Ecuador</v>
      </c>
      <c r="AM37" t="str">
        <f t="shared" ca="1" si="114"/>
        <v>Peru</v>
      </c>
      <c r="AP37">
        <f t="shared" ref="AP37:AT40" ca="1" si="115">IF(AI37=0,"",ROUND(INDEX(G$37:G$40,AB37),1))</f>
        <v>76.599999999999994</v>
      </c>
      <c r="AQ37">
        <f t="shared" ca="1" si="115"/>
        <v>87.5</v>
      </c>
      <c r="AR37">
        <f t="shared" ca="1" si="115"/>
        <v>59.7</v>
      </c>
      <c r="AS37">
        <f t="shared" ca="1" si="115"/>
        <v>83.3</v>
      </c>
      <c r="AT37">
        <f t="shared" ca="1" si="115"/>
        <v>4</v>
      </c>
      <c r="BK37" t="e">
        <f t="shared" ref="BK37:BO40" ca="1" si="116">IF(AP37=0,"",ROUND(INDEX(U$37:U$40,AI37),1))</f>
        <v>#VALUE!</v>
      </c>
      <c r="BL37" t="e">
        <f t="shared" ca="1" si="116"/>
        <v>#VALUE!</v>
      </c>
      <c r="BM37" t="e">
        <f t="shared" ca="1" si="116"/>
        <v>#VALUE!</v>
      </c>
      <c r="BN37" t="e">
        <f t="shared" ca="1" si="116"/>
        <v>#VALUE!</v>
      </c>
      <c r="BO37" t="e">
        <f t="shared" ca="1" si="116"/>
        <v>#VALUE!</v>
      </c>
    </row>
    <row r="38" spans="1:67">
      <c r="A38">
        <v>2</v>
      </c>
      <c r="B38">
        <v>1</v>
      </c>
      <c r="C38" t="str">
        <f ca="1">uxb_globals!B25</f>
        <v>Costa Rica</v>
      </c>
      <c r="D38" t="str">
        <f ca="1">uxb_globals!B31</f>
        <v>CR</v>
      </c>
      <c r="E38" s="4">
        <f ca="1">MATCH(D38,uxb_scores_2007!$J$2:$AD$2,0)</f>
        <v>6</v>
      </c>
      <c r="G38" s="3">
        <f ca="1">IF($B38=0,"",ROUND(OFFSET(uxb_scores_2008!$I$2,G$6,$E38),2))</f>
        <v>40.28</v>
      </c>
      <c r="H38" s="3">
        <f ca="1">IF($B38=0,"",ROUND(OFFSET(uxb_scores_2008!$I$2,H$6,$E38),2))</f>
        <v>37.5</v>
      </c>
      <c r="I38" s="3">
        <f ca="1">IF($B38=0,"",ROUND(OFFSET(uxb_scores_2008!$I$2,I$6,$E38),2))</f>
        <v>59.71</v>
      </c>
      <c r="J38" s="3">
        <f ca="1">IF($B38=0,"",ROUND(OFFSET(uxb_scores_2008!$I$2,J$6,$E38),2))</f>
        <v>33.33</v>
      </c>
      <c r="K38" s="3">
        <f ca="1">IF($B38=0,"",ROUND(OFFSET(uxb_scores_2008!$I$2,K$6,$E38),2))</f>
        <v>1</v>
      </c>
      <c r="U38">
        <f ca="1">IF($B38=1,RANK(G38,G$37:G$40,$B$1)+COUNTIF(G$37:G38,G38)-1,"")</f>
        <v>4</v>
      </c>
      <c r="V38">
        <f ca="1">IF($B38=1,RANK(H38,H$37:H$40,$B$1)+COUNTIF(H$37:H38,H38)-1,"")</f>
        <v>4</v>
      </c>
      <c r="W38">
        <f ca="1">IF($B38=1,RANK(I38,I$37:I$40,$B$1)+COUNTIF(I$37:I38,I38)-1,"")</f>
        <v>1</v>
      </c>
      <c r="X38">
        <f ca="1">IF($B38=1,RANK(J38,J$37:J$40,$B$1)+COUNTIF(J$37:J38,J38)-1,"")</f>
        <v>4</v>
      </c>
      <c r="Y38">
        <f ca="1">IF($B38=1,RANK(K38,K$37:K$40,$B$1)+COUNTIF(K$37:K38,K38)-1,"")</f>
        <v>3</v>
      </c>
      <c r="AB38">
        <f t="shared" ca="1" si="113"/>
        <v>3</v>
      </c>
      <c r="AC38">
        <f t="shared" ca="1" si="113"/>
        <v>3</v>
      </c>
      <c r="AD38">
        <f t="shared" ca="1" si="113"/>
        <v>1</v>
      </c>
      <c r="AE38">
        <f t="shared" ca="1" si="113"/>
        <v>1</v>
      </c>
      <c r="AF38">
        <f t="shared" ca="1" si="113"/>
        <v>3</v>
      </c>
      <c r="AI38" t="str">
        <f ca="1">IF(AB38=0,"",INDEX($C$37:$C$40,AB38))</f>
        <v>Ecuador</v>
      </c>
      <c r="AJ38" t="str">
        <f t="shared" ca="1" si="114"/>
        <v>Ecuador</v>
      </c>
      <c r="AK38" t="str">
        <f t="shared" ca="1" si="114"/>
        <v>Peru</v>
      </c>
      <c r="AL38" t="str">
        <f t="shared" ca="1" si="114"/>
        <v>Peru</v>
      </c>
      <c r="AM38" t="str">
        <f t="shared" ca="1" si="114"/>
        <v>Ecuador</v>
      </c>
      <c r="AP38">
        <f t="shared" ca="1" si="115"/>
        <v>69.7</v>
      </c>
      <c r="AQ38">
        <f t="shared" ca="1" si="115"/>
        <v>75</v>
      </c>
      <c r="AR38">
        <f t="shared" ca="1" si="115"/>
        <v>58</v>
      </c>
      <c r="AS38">
        <f t="shared" ca="1" si="115"/>
        <v>75</v>
      </c>
      <c r="AT38">
        <f t="shared" ca="1" si="115"/>
        <v>3</v>
      </c>
      <c r="BK38" t="e">
        <f t="shared" ca="1" si="116"/>
        <v>#VALUE!</v>
      </c>
      <c r="BL38" t="e">
        <f t="shared" ca="1" si="116"/>
        <v>#VALUE!</v>
      </c>
      <c r="BM38" t="e">
        <f t="shared" ca="1" si="116"/>
        <v>#VALUE!</v>
      </c>
      <c r="BN38" t="e">
        <f t="shared" ca="1" si="116"/>
        <v>#VALUE!</v>
      </c>
      <c r="BO38" t="e">
        <f t="shared" ca="1" si="116"/>
        <v>#VALUE!</v>
      </c>
    </row>
    <row r="39" spans="1:67">
      <c r="A39">
        <v>3</v>
      </c>
      <c r="B39">
        <v>1</v>
      </c>
      <c r="C39" t="str">
        <f ca="1">uxb_globals!B26</f>
        <v>Ecuador</v>
      </c>
      <c r="D39" t="str">
        <f ca="1">uxb_globals!B32</f>
        <v>EC</v>
      </c>
      <c r="E39" s="4">
        <f ca="1">MATCH(D39,uxb_scores_2007!$J$2:$AD$2,0)</f>
        <v>8</v>
      </c>
      <c r="G39" s="3">
        <f ca="1">IF($B39=0,"",ROUND(OFFSET(uxb_scores_2008!$I$2,G$6,$E39),2))</f>
        <v>69.67</v>
      </c>
      <c r="H39" s="3">
        <f ca="1">IF($B39=0,"",ROUND(OFFSET(uxb_scores_2008!$I$2,H$6,$E39),2))</f>
        <v>75</v>
      </c>
      <c r="I39" s="3">
        <f ca="1">IF($B39=0,"",ROUND(OFFSET(uxb_scores_2008!$I$2,I$6,$E39),2))</f>
        <v>31.67</v>
      </c>
      <c r="J39" s="3">
        <f ca="1">IF($B39=0,"",ROUND(OFFSET(uxb_scores_2008!$I$2,J$6,$E39),2))</f>
        <v>83.33</v>
      </c>
      <c r="K39" s="3">
        <f ca="1">IF($B39=0,"",ROUND(OFFSET(uxb_scores_2008!$I$2,K$6,$E39),2))</f>
        <v>3</v>
      </c>
      <c r="U39">
        <f ca="1">IF($B39=1,RANK(G39,G$37:G$40,$B$1)+COUNTIF(G$37:G39,G39)-1,"")</f>
        <v>2</v>
      </c>
      <c r="V39">
        <f ca="1">IF($B39=1,RANK(H39,H$37:H$40,$B$1)+COUNTIF(H$37:H39,H39)-1,"")</f>
        <v>2</v>
      </c>
      <c r="W39">
        <f ca="1">IF($B39=1,RANK(I39,I$37:I$40,$B$1)+COUNTIF(I$37:I39,I39)-1,"")</f>
        <v>4</v>
      </c>
      <c r="X39">
        <f ca="1">IF($B39=1,RANK(J39,J$37:J$40,$B$1)+COUNTIF(J$37:J39,J39)-1,"")</f>
        <v>1</v>
      </c>
      <c r="Y39">
        <f ca="1">IF($B39=1,RANK(K39,K$37:K$40,$B$1)+COUNTIF(K$37:K39,K39)-1,"")</f>
        <v>2</v>
      </c>
      <c r="AB39">
        <f t="shared" ca="1" si="113"/>
        <v>4</v>
      </c>
      <c r="AC39">
        <f t="shared" ca="1" si="113"/>
        <v>4</v>
      </c>
      <c r="AD39">
        <f t="shared" ca="1" si="113"/>
        <v>4</v>
      </c>
      <c r="AE39">
        <f t="shared" ca="1" si="113"/>
        <v>4</v>
      </c>
      <c r="AF39">
        <f t="shared" ca="1" si="113"/>
        <v>2</v>
      </c>
      <c r="AI39" t="str">
        <f ca="1">IF(AB39=0,"",INDEX($C$37:$C$40,AB39))</f>
        <v>Guatemala</v>
      </c>
      <c r="AJ39" t="str">
        <f t="shared" ca="1" si="114"/>
        <v>Guatemala</v>
      </c>
      <c r="AK39" t="str">
        <f t="shared" ca="1" si="114"/>
        <v>Guatemala</v>
      </c>
      <c r="AL39" t="str">
        <f t="shared" ca="1" si="114"/>
        <v>Guatemala</v>
      </c>
      <c r="AM39" t="str">
        <f t="shared" ca="1" si="114"/>
        <v>Costa Rica</v>
      </c>
      <c r="AP39">
        <f t="shared" ca="1" si="115"/>
        <v>54</v>
      </c>
      <c r="AQ39">
        <f t="shared" ca="1" si="115"/>
        <v>56.3</v>
      </c>
      <c r="AR39">
        <f t="shared" ca="1" si="115"/>
        <v>40.799999999999997</v>
      </c>
      <c r="AS39">
        <f t="shared" ca="1" si="115"/>
        <v>58.3</v>
      </c>
      <c r="AT39">
        <f t="shared" ca="1" si="115"/>
        <v>1</v>
      </c>
      <c r="BK39" t="e">
        <f t="shared" ca="1" si="116"/>
        <v>#VALUE!</v>
      </c>
      <c r="BL39" t="e">
        <f t="shared" ca="1" si="116"/>
        <v>#VALUE!</v>
      </c>
      <c r="BM39" t="e">
        <f t="shared" ca="1" si="116"/>
        <v>#VALUE!</v>
      </c>
      <c r="BN39" t="e">
        <f t="shared" ca="1" si="116"/>
        <v>#VALUE!</v>
      </c>
      <c r="BO39" t="e">
        <f t="shared" ca="1" si="116"/>
        <v>#VALUE!</v>
      </c>
    </row>
    <row r="40" spans="1:67">
      <c r="A40">
        <v>4</v>
      </c>
      <c r="B40">
        <v>1</v>
      </c>
      <c r="C40" t="str">
        <f ca="1">uxb_globals!B27</f>
        <v>Guatemala</v>
      </c>
      <c r="D40" t="str">
        <f ca="1">uxb_globals!B33</f>
        <v>GT</v>
      </c>
      <c r="E40" s="4">
        <f ca="1">MATCH(D40,uxb_scores_2007!$J$2:$AD$2,0)</f>
        <v>10</v>
      </c>
      <c r="G40" s="3">
        <f ca="1">IF($B40=0,"",ROUND(OFFSET(uxb_scores_2008!$I$2,G$6,$E40),2))</f>
        <v>54</v>
      </c>
      <c r="H40" s="3">
        <f ca="1">IF($B40=0,"",ROUND(OFFSET(uxb_scores_2008!$I$2,H$6,$E40),2))</f>
        <v>56.25</v>
      </c>
      <c r="I40" s="3">
        <f ca="1">IF($B40=0,"",ROUND(OFFSET(uxb_scores_2008!$I$2,I$6,$E40),2))</f>
        <v>40.83</v>
      </c>
      <c r="J40" s="3">
        <f ca="1">IF($B40=0,"",ROUND(OFFSET(uxb_scores_2008!$I$2,J$6,$E40),2))</f>
        <v>58.33</v>
      </c>
      <c r="K40" s="3">
        <f ca="1">IF($B40=0,"",ROUND(OFFSET(uxb_scores_2008!$I$2,K$6,$E40),2))</f>
        <v>1</v>
      </c>
      <c r="U40">
        <f ca="1">IF($B40=1,RANK(G40,G$37:G$40,$B$1)+COUNTIF(G$37:G40,G40)-1,"")</f>
        <v>3</v>
      </c>
      <c r="V40">
        <f ca="1">IF($B40=1,RANK(H40,H$37:H$40,$B$1)+COUNTIF(H$37:H40,H40)-1,"")</f>
        <v>3</v>
      </c>
      <c r="W40">
        <f ca="1">IF($B40=1,RANK(I40,I$37:I$40,$B$1)+COUNTIF(I$37:I40,I40)-1,"")</f>
        <v>3</v>
      </c>
      <c r="X40">
        <f ca="1">IF($B40=1,RANK(J40,J$37:J$40,$B$1)+COUNTIF(J$37:J40,J40)-1,"")</f>
        <v>3</v>
      </c>
      <c r="Y40">
        <f ca="1">IF($B40=1,RANK(K40,K$37:K$40,$B$1)+COUNTIF(K$37:K40,K40)-1,"")</f>
        <v>4</v>
      </c>
      <c r="AB40">
        <f t="shared" ca="1" si="113"/>
        <v>2</v>
      </c>
      <c r="AC40">
        <f t="shared" ca="1" si="113"/>
        <v>2</v>
      </c>
      <c r="AD40">
        <f t="shared" ca="1" si="113"/>
        <v>3</v>
      </c>
      <c r="AE40">
        <f t="shared" ca="1" si="113"/>
        <v>2</v>
      </c>
      <c r="AF40">
        <f t="shared" ca="1" si="113"/>
        <v>4</v>
      </c>
      <c r="AI40" t="str">
        <f ca="1">IF(AB40=0,"",INDEX($C$37:$C$40,AB40))</f>
        <v>Costa Rica</v>
      </c>
      <c r="AJ40" t="str">
        <f t="shared" ca="1" si="114"/>
        <v>Costa Rica</v>
      </c>
      <c r="AK40" t="str">
        <f t="shared" ca="1" si="114"/>
        <v>Ecuador</v>
      </c>
      <c r="AL40" t="str">
        <f t="shared" ca="1" si="114"/>
        <v>Costa Rica</v>
      </c>
      <c r="AM40" t="str">
        <f t="shared" ca="1" si="114"/>
        <v>Guatemala</v>
      </c>
      <c r="AP40">
        <f t="shared" ca="1" si="115"/>
        <v>40.299999999999997</v>
      </c>
      <c r="AQ40">
        <f t="shared" ca="1" si="115"/>
        <v>37.5</v>
      </c>
      <c r="AR40">
        <f t="shared" ca="1" si="115"/>
        <v>31.7</v>
      </c>
      <c r="AS40">
        <f t="shared" ca="1" si="115"/>
        <v>33.299999999999997</v>
      </c>
      <c r="AT40">
        <f t="shared" ca="1" si="115"/>
        <v>1</v>
      </c>
      <c r="BK40" t="e">
        <f t="shared" ca="1" si="116"/>
        <v>#VALUE!</v>
      </c>
      <c r="BL40" t="e">
        <f t="shared" ca="1" si="116"/>
        <v>#VALUE!</v>
      </c>
      <c r="BM40" t="e">
        <f t="shared" ca="1" si="116"/>
        <v>#VALUE!</v>
      </c>
      <c r="BN40" t="e">
        <f t="shared" ca="1" si="116"/>
        <v>#VALUE!</v>
      </c>
      <c r="BO40" t="e">
        <f t="shared" ca="1" si="116"/>
        <v>#VALUE!</v>
      </c>
    </row>
    <row r="42" spans="1:67">
      <c r="AQ42" t="s">
        <v>119</v>
      </c>
    </row>
    <row r="44" spans="1:67">
      <c r="AI44">
        <f ca="1">MATCH(AI8,uxb_ranking_orig_only!AI$8:AI$22,0)</f>
        <v>1</v>
      </c>
      <c r="AJ44">
        <f ca="1">MATCH(AJ8,uxb_ranking_orig_only!AJ$8:AJ$22,0)</f>
        <v>1</v>
      </c>
      <c r="AK44">
        <f ca="1">MATCH(AK8,uxb_ranking_orig_only!AK$8:AK$22,0)</f>
        <v>1</v>
      </c>
      <c r="AL44">
        <f ca="1">MATCH(AL8,uxb_ranking_orig_only!AL$8:AL$22,0)</f>
        <v>1</v>
      </c>
      <c r="AM44">
        <f ca="1">MATCH(AM8,uxb_ranking_orig_only!AM$8:AM$22,0)</f>
        <v>1</v>
      </c>
      <c r="AN44">
        <f ca="1">MATCH(AN8,uxb_ranking_orig_only!AN$8:AN$22,0)</f>
        <v>1</v>
      </c>
      <c r="AO44" t="e">
        <f ca="1">MATCH(AO8,uxb_ranking_orig_only!AO$8:AO$22,0)</f>
        <v>#N/A</v>
      </c>
      <c r="AQ44" t="str">
        <f ca="1">IF(ISERROR(AI44),"",INDEX(uxb_ranking_orig_only!DA$8:DA$22,uxb_ranking!AI44))</f>
        <v>+1</v>
      </c>
      <c r="AR44" t="str">
        <f ca="1">IF(ISERROR(AJ44),"",INDEX(uxb_ranking_orig_only!DB$8:DB$22,uxb_ranking!AJ44))</f>
        <v>-</v>
      </c>
      <c r="AS44" t="str">
        <f ca="1">IF(ISERROR(AK44),"",INDEX(uxb_ranking_orig_only!DC$8:DC$22,uxb_ranking!AK44))</f>
        <v>-</v>
      </c>
      <c r="AT44" t="str">
        <f ca="1">IF(ISERROR(AL44),"",INDEX(uxb_ranking_orig_only!DD$8:DD$22,uxb_ranking!AL44))</f>
        <v>-</v>
      </c>
      <c r="AU44" t="str">
        <f ca="1">IF(ISERROR(AM44),"",INDEX(uxb_ranking_orig_only!DE$8:DE$22,uxb_ranking!AM44))</f>
        <v>+1</v>
      </c>
      <c r="AW44">
        <f ca="1">IF(ISERROR(AI44),"",INDEX(uxb_ranking_orig_only!DH$8:DH$22,uxb_ranking!AI44))</f>
        <v>1</v>
      </c>
      <c r="AX44">
        <f ca="1">IF(ISERROR(AJ44),"",INDEX(uxb_ranking_orig_only!DI$8:DI$22,uxb_ranking!AJ44))</f>
        <v>0</v>
      </c>
      <c r="AY44">
        <f ca="1">IF(ISERROR(AK44),"",INDEX(uxb_ranking_orig_only!DJ$8:DJ$22,uxb_ranking!AK44))</f>
        <v>0</v>
      </c>
      <c r="AZ44">
        <f ca="1">IF(ISERROR(AL44),"",INDEX(uxb_ranking_orig_only!DK$8:DK$22,uxb_ranking!AL44))</f>
        <v>0</v>
      </c>
      <c r="BA44">
        <f ca="1">IF(ISERROR(AM44),"",INDEX(uxb_ranking_orig_only!DL$8:DL$22,uxb_ranking!AM44))</f>
        <v>1</v>
      </c>
      <c r="BB44">
        <f ca="1">IF(ISERROR(AN44),"",INDEX(uxb_ranking_orig_only!DM$8:DM$22,uxb_ranking!AN44))</f>
        <v>0</v>
      </c>
      <c r="BC44" t="str">
        <f ca="1">IF(ISERROR(AO44),"",INDEX(uxb_ranking_orig_only!DN$8:DN$22,uxb_ranking!AO44))</f>
        <v/>
      </c>
    </row>
    <row r="45" spans="1:67">
      <c r="AI45">
        <f ca="1">MATCH(AI9,uxb_ranking_orig_only!AI$8:AI$22,0)</f>
        <v>2</v>
      </c>
      <c r="AJ45">
        <f ca="1">MATCH(AJ9,uxb_ranking_orig_only!AJ$8:AJ$22,0)</f>
        <v>2</v>
      </c>
      <c r="AK45" t="e">
        <f ca="1">MATCH(AK9,uxb_ranking_orig_only!AK$8:AK$22,0)</f>
        <v>#N/A</v>
      </c>
      <c r="AL45">
        <f ca="1">MATCH(AL9,uxb_ranking_orig_only!AL$8:AL$22,0)</f>
        <v>2</v>
      </c>
      <c r="AM45">
        <f ca="1">MATCH(AM9,uxb_ranking_orig_only!AM$8:AM$22,0)</f>
        <v>2</v>
      </c>
      <c r="AN45">
        <f ca="1">MATCH(AN9,uxb_ranking_orig_only!AN$8:AN$22,0)</f>
        <v>2</v>
      </c>
      <c r="AO45" t="e">
        <f ca="1">MATCH(AO9,uxb_ranking_orig_only!AO$8:AO$22,0)</f>
        <v>#N/A</v>
      </c>
      <c r="AQ45" t="str">
        <f ca="1">IF(ISERROR(AI45),"",INDEX(uxb_ranking_orig_only!DA$8:DA$22,uxb_ranking!AI45))</f>
        <v>-1</v>
      </c>
      <c r="AR45" t="str">
        <f ca="1">IF(ISERROR(AJ45),"",INDEX(uxb_ranking_orig_only!DB$8:DB$22,uxb_ranking!AJ45))</f>
        <v>+1</v>
      </c>
      <c r="AS45" t="str">
        <f ca="1">IF(ISERROR(AK45),"",INDEX(uxb_ranking_orig_only!DC$8:DC$22,uxb_ranking!AK45))</f>
        <v/>
      </c>
      <c r="AT45" t="str">
        <f ca="1">IF(ISERROR(AL45),"",INDEX(uxb_ranking_orig_only!DD$8:DD$22,uxb_ranking!AL45))</f>
        <v>-1</v>
      </c>
      <c r="AU45" t="str">
        <f ca="1">IF(ISERROR(AM45),"",INDEX(uxb_ranking_orig_only!DE$8:DE$22,uxb_ranking!AM45))</f>
        <v>-1</v>
      </c>
      <c r="AW45">
        <f ca="1">IF(ISERROR(AI45),"",INDEX(uxb_ranking_orig_only!DH$8:DH$22,uxb_ranking!AI45))</f>
        <v>-1</v>
      </c>
      <c r="AX45">
        <f ca="1">IF(ISERROR(AJ45),"",INDEX(uxb_ranking_orig_only!DI$8:DI$22,uxb_ranking!AJ45))</f>
        <v>1</v>
      </c>
      <c r="AY45" t="str">
        <f ca="1">IF(ISERROR(AK45),"",INDEX(uxb_ranking_orig_only!DJ$8:DJ$22,uxb_ranking!AK45))</f>
        <v/>
      </c>
      <c r="AZ45">
        <f ca="1">IF(ISERROR(AL45),"",INDEX(uxb_ranking_orig_only!DK$8:DK$22,uxb_ranking!AL45))</f>
        <v>-1</v>
      </c>
      <c r="BA45">
        <f ca="1">IF(ISERROR(AM45),"",INDEX(uxb_ranking_orig_only!DL$8:DL$22,uxb_ranking!AM45))</f>
        <v>-1</v>
      </c>
      <c r="BB45">
        <f ca="1">IF(ISERROR(AN45),"",INDEX(uxb_ranking_orig_only!DM$8:DM$22,uxb_ranking!AN45))</f>
        <v>0</v>
      </c>
      <c r="BC45" t="str">
        <f ca="1">IF(ISERROR(AO45),"",INDEX(uxb_ranking_orig_only!DN$8:DN$22,uxb_ranking!AO45))</f>
        <v/>
      </c>
    </row>
    <row r="46" spans="1:67">
      <c r="AI46">
        <f ca="1">MATCH(AI10,uxb_ranking_orig_only!AI$8:AI$22,0)</f>
        <v>3</v>
      </c>
      <c r="AJ46">
        <f ca="1">MATCH(AJ10,uxb_ranking_orig_only!AJ$8:AJ$22,0)</f>
        <v>3</v>
      </c>
      <c r="AK46">
        <f ca="1">MATCH(AK10,uxb_ranking_orig_only!AK$8:AK$22,0)</f>
        <v>2</v>
      </c>
      <c r="AL46">
        <f ca="1">MATCH(AL10,uxb_ranking_orig_only!AL$8:AL$22,0)</f>
        <v>3</v>
      </c>
      <c r="AM46">
        <f ca="1">MATCH(AM10,uxb_ranking_orig_only!AM$8:AM$22,0)</f>
        <v>3</v>
      </c>
      <c r="AN46">
        <f ca="1">MATCH(AN10,uxb_ranking_orig_only!AN$8:AN$22,0)</f>
        <v>3</v>
      </c>
      <c r="AO46" t="e">
        <f ca="1">MATCH(AO10,uxb_ranking_orig_only!AO$8:AO$22,0)</f>
        <v>#N/A</v>
      </c>
      <c r="AQ46" t="str">
        <f ca="1">IF(ISERROR(AI46),"",INDEX(uxb_ranking_orig_only!DA$8:DA$22,uxb_ranking!AI46))</f>
        <v>-</v>
      </c>
      <c r="AR46" t="str">
        <f ca="1">IF(ISERROR(AJ46),"",INDEX(uxb_ranking_orig_only!DB$8:DB$22,uxb_ranking!AJ46))</f>
        <v>-</v>
      </c>
      <c r="AS46" t="str">
        <f ca="1">IF(ISERROR(AK46),"",INDEX(uxb_ranking_orig_only!DC$8:DC$22,uxb_ranking!AK46))</f>
        <v>+1</v>
      </c>
      <c r="AT46" t="str">
        <f ca="1">IF(ISERROR(AL46),"",INDEX(uxb_ranking_orig_only!DD$8:DD$22,uxb_ranking!AL46))</f>
        <v>-1</v>
      </c>
      <c r="AU46" t="str">
        <f ca="1">IF(ISERROR(AM46),"",INDEX(uxb_ranking_orig_only!DE$8:DE$22,uxb_ranking!AM46))</f>
        <v>-</v>
      </c>
      <c r="AW46">
        <f ca="1">IF(ISERROR(AI46),"",INDEX(uxb_ranking_orig_only!DH$8:DH$22,uxb_ranking!AI46))</f>
        <v>0</v>
      </c>
      <c r="AX46">
        <f ca="1">IF(ISERROR(AJ46),"",INDEX(uxb_ranking_orig_only!DI$8:DI$22,uxb_ranking!AJ46))</f>
        <v>0</v>
      </c>
      <c r="AY46">
        <f ca="1">IF(ISERROR(AK46),"",INDEX(uxb_ranking_orig_only!DJ$8:DJ$22,uxb_ranking!AK46))</f>
        <v>1</v>
      </c>
      <c r="AZ46">
        <f ca="1">IF(ISERROR(AL46),"",INDEX(uxb_ranking_orig_only!DK$8:DK$22,uxb_ranking!AL46))</f>
        <v>-1</v>
      </c>
      <c r="BA46">
        <f ca="1">IF(ISERROR(AM46),"",INDEX(uxb_ranking_orig_only!DL$8:DL$22,uxb_ranking!AM46))</f>
        <v>0</v>
      </c>
      <c r="BB46">
        <f ca="1">IF(ISERROR(AN46),"",INDEX(uxb_ranking_orig_only!DM$8:DM$22,uxb_ranking!AN46))</f>
        <v>-1</v>
      </c>
      <c r="BC46" t="str">
        <f ca="1">IF(ISERROR(AO46),"",INDEX(uxb_ranking_orig_only!DN$8:DN$22,uxb_ranking!AO46))</f>
        <v/>
      </c>
    </row>
    <row r="47" spans="1:67">
      <c r="AI47">
        <f ca="1">MATCH(AI11,uxb_ranking_orig_only!AI$8:AI$22,0)</f>
        <v>4</v>
      </c>
      <c r="AJ47">
        <f ca="1">MATCH(AJ11,uxb_ranking_orig_only!AJ$8:AJ$22,0)</f>
        <v>4</v>
      </c>
      <c r="AK47" t="e">
        <f ca="1">MATCH(AK11,uxb_ranking_orig_only!AK$8:AK$22,0)</f>
        <v>#N/A</v>
      </c>
      <c r="AL47">
        <f ca="1">MATCH(AL11,uxb_ranking_orig_only!AL$8:AL$22,0)</f>
        <v>4</v>
      </c>
      <c r="AM47">
        <f ca="1">MATCH(AM11,uxb_ranking_orig_only!AM$8:AM$22,0)</f>
        <v>4</v>
      </c>
      <c r="AN47">
        <f ca="1">MATCH(AN11,uxb_ranking_orig_only!AN$8:AN$22,0)</f>
        <v>4</v>
      </c>
      <c r="AO47" t="e">
        <f ca="1">MATCH(AO11,uxb_ranking_orig_only!AO$8:AO$22,0)</f>
        <v>#N/A</v>
      </c>
      <c r="AQ47" t="str">
        <f ca="1">IF(ISERROR(AI47),"",INDEX(uxb_ranking_orig_only!DA$8:DA$22,uxb_ranking!AI47))</f>
        <v>-</v>
      </c>
      <c r="AR47" t="str">
        <f ca="1">IF(ISERROR(AJ47),"",INDEX(uxb_ranking_orig_only!DB$8:DB$22,uxb_ranking!AJ47))</f>
        <v>+4</v>
      </c>
      <c r="AS47" t="str">
        <f ca="1">IF(ISERROR(AK47),"",INDEX(uxb_ranking_orig_only!DC$8:DC$22,uxb_ranking!AK47))</f>
        <v/>
      </c>
      <c r="AT47" t="str">
        <f ca="1">IF(ISERROR(AL47),"",INDEX(uxb_ranking_orig_only!DD$8:DD$22,uxb_ranking!AL47))</f>
        <v>+1</v>
      </c>
      <c r="AU47" t="str">
        <f ca="1">IF(ISERROR(AM47),"",INDEX(uxb_ranking_orig_only!DE$8:DE$22,uxb_ranking!AM47))</f>
        <v>+3</v>
      </c>
      <c r="AW47">
        <f ca="1">IF(ISERROR(AI47),"",INDEX(uxb_ranking_orig_only!DH$8:DH$22,uxb_ranking!AI47))</f>
        <v>0</v>
      </c>
      <c r="AX47">
        <f ca="1">IF(ISERROR(AJ47),"",INDEX(uxb_ranking_orig_only!DI$8:DI$22,uxb_ranking!AJ47))</f>
        <v>1</v>
      </c>
      <c r="AY47" t="str">
        <f ca="1">IF(ISERROR(AK47),"",INDEX(uxb_ranking_orig_only!DJ$8:DJ$22,uxb_ranking!AK47))</f>
        <v/>
      </c>
      <c r="AZ47">
        <f ca="1">IF(ISERROR(AL47),"",INDEX(uxb_ranking_orig_only!DK$8:DK$22,uxb_ranking!AL47))</f>
        <v>1</v>
      </c>
      <c r="BA47">
        <f ca="1">IF(ISERROR(AM47),"",INDEX(uxb_ranking_orig_only!DL$8:DL$22,uxb_ranking!AM47))</f>
        <v>1</v>
      </c>
      <c r="BB47">
        <f ca="1">IF(ISERROR(AN47),"",INDEX(uxb_ranking_orig_only!DM$8:DM$22,uxb_ranking!AN47))</f>
        <v>0</v>
      </c>
      <c r="BC47" t="str">
        <f ca="1">IF(ISERROR(AO47),"",INDEX(uxb_ranking_orig_only!DN$8:DN$22,uxb_ranking!AO47))</f>
        <v/>
      </c>
    </row>
    <row r="48" spans="1:67">
      <c r="AI48">
        <f ca="1">MATCH(AI12,uxb_ranking_orig_only!AI$8:AI$22,0)</f>
        <v>5</v>
      </c>
      <c r="AJ48">
        <f ca="1">MATCH(AJ12,uxb_ranking_orig_only!AJ$8:AJ$22,0)</f>
        <v>5</v>
      </c>
      <c r="AK48">
        <f ca="1">MATCH(AK12,uxb_ranking_orig_only!AK$8:AK$22,0)</f>
        <v>3</v>
      </c>
      <c r="AL48">
        <f ca="1">MATCH(AL12,uxb_ranking_orig_only!AL$8:AL$22,0)</f>
        <v>5</v>
      </c>
      <c r="AM48">
        <f ca="1">MATCH(AM12,uxb_ranking_orig_only!AM$8:AM$22,0)</f>
        <v>5</v>
      </c>
      <c r="AN48">
        <f ca="1">MATCH(AN12,uxb_ranking_orig_only!AN$8:AN$22,0)</f>
        <v>5</v>
      </c>
      <c r="AO48" t="e">
        <f ca="1">MATCH(AO12,uxb_ranking_orig_only!AO$8:AO$22,0)</f>
        <v>#N/A</v>
      </c>
      <c r="AQ48" t="str">
        <f ca="1">IF(ISERROR(AI48),"",INDEX(uxb_ranking_orig_only!DA$8:DA$22,uxb_ranking!AI48))</f>
        <v>+5</v>
      </c>
      <c r="AR48" t="str">
        <f ca="1">IF(ISERROR(AJ48),"",INDEX(uxb_ranking_orig_only!DB$8:DB$22,uxb_ranking!AJ48))</f>
        <v>-</v>
      </c>
      <c r="AS48" t="str">
        <f ca="1">IF(ISERROR(AK48),"",INDEX(uxb_ranking_orig_only!DC$8:DC$22,uxb_ranking!AK48))</f>
        <v>+1</v>
      </c>
      <c r="AT48" t="str">
        <f ca="1">IF(ISERROR(AL48),"",INDEX(uxb_ranking_orig_only!DD$8:DD$22,uxb_ranking!AL48))</f>
        <v>+2</v>
      </c>
      <c r="AU48" t="str">
        <f ca="1">IF(ISERROR(AM48),"",INDEX(uxb_ranking_orig_only!DE$8:DE$22,uxb_ranking!AM48))</f>
        <v>-</v>
      </c>
      <c r="AW48">
        <f ca="1">IF(ISERROR(AI48),"",INDEX(uxb_ranking_orig_only!DH$8:DH$22,uxb_ranking!AI48))</f>
        <v>1</v>
      </c>
      <c r="AX48">
        <f ca="1">IF(ISERROR(AJ48),"",INDEX(uxb_ranking_orig_only!DI$8:DI$22,uxb_ranking!AJ48))</f>
        <v>0</v>
      </c>
      <c r="AY48">
        <f ca="1">IF(ISERROR(AK48),"",INDEX(uxb_ranking_orig_only!DJ$8:DJ$22,uxb_ranking!AK48))</f>
        <v>1</v>
      </c>
      <c r="AZ48">
        <f ca="1">IF(ISERROR(AL48),"",INDEX(uxb_ranking_orig_only!DK$8:DK$22,uxb_ranking!AL48))</f>
        <v>1</v>
      </c>
      <c r="BA48">
        <f ca="1">IF(ISERROR(AM48),"",INDEX(uxb_ranking_orig_only!DL$8:DL$22,uxb_ranking!AM48))</f>
        <v>0</v>
      </c>
      <c r="BB48">
        <f ca="1">IF(ISERROR(AN48),"",INDEX(uxb_ranking_orig_only!DM$8:DM$22,uxb_ranking!AN48))</f>
        <v>-1</v>
      </c>
      <c r="BC48" t="str">
        <f ca="1">IF(ISERROR(AO48),"",INDEX(uxb_ranking_orig_only!DN$8:DN$22,uxb_ranking!AO48))</f>
        <v/>
      </c>
    </row>
    <row r="49" spans="35:55">
      <c r="AI49">
        <f ca="1">MATCH(AI13,uxb_ranking_orig_only!AI$8:AI$22,0)</f>
        <v>6</v>
      </c>
      <c r="AJ49">
        <f ca="1">MATCH(AJ13,uxb_ranking_orig_only!AJ$8:AJ$22,0)</f>
        <v>6</v>
      </c>
      <c r="AK49" t="e">
        <f ca="1">MATCH(AK13,uxb_ranking_orig_only!AK$8:AK$22,0)</f>
        <v>#N/A</v>
      </c>
      <c r="AL49">
        <f ca="1">MATCH(AL13,uxb_ranking_orig_only!AL$8:AL$22,0)</f>
        <v>6</v>
      </c>
      <c r="AM49">
        <f ca="1">MATCH(AM13,uxb_ranking_orig_only!AM$8:AM$22,0)</f>
        <v>6</v>
      </c>
      <c r="AN49">
        <f ca="1">MATCH(AN13,uxb_ranking_orig_only!AN$8:AN$22,0)</f>
        <v>6</v>
      </c>
      <c r="AO49" t="e">
        <f ca="1">MATCH(AO13,uxb_ranking_orig_only!AO$8:AO$22,0)</f>
        <v>#N/A</v>
      </c>
      <c r="AQ49" t="str">
        <f ca="1">IF(ISERROR(AI49),"",INDEX(uxb_ranking_orig_only!DA$8:DA$22,uxb_ranking!AI49))</f>
        <v>-</v>
      </c>
      <c r="AR49" t="str">
        <f ca="1">IF(ISERROR(AJ49),"",INDEX(uxb_ranking_orig_only!DB$8:DB$22,uxb_ranking!AJ49))</f>
        <v>-2</v>
      </c>
      <c r="AS49" t="str">
        <f ca="1">IF(ISERROR(AK49),"",INDEX(uxb_ranking_orig_only!DC$8:DC$22,uxb_ranking!AK49))</f>
        <v/>
      </c>
      <c r="AT49" t="str">
        <f ca="1">IF(ISERROR(AL49),"",INDEX(uxb_ranking_orig_only!DD$8:DD$22,uxb_ranking!AL49))</f>
        <v>+2</v>
      </c>
      <c r="AU49" t="str">
        <f ca="1">IF(ISERROR(AM49),"",INDEX(uxb_ranking_orig_only!DE$8:DE$22,uxb_ranking!AM49))</f>
        <v>+5</v>
      </c>
      <c r="AW49">
        <f ca="1">IF(ISERROR(AI49),"",INDEX(uxb_ranking_orig_only!DH$8:DH$22,uxb_ranking!AI49))</f>
        <v>0</v>
      </c>
      <c r="AX49">
        <f ca="1">IF(ISERROR(AJ49),"",INDEX(uxb_ranking_orig_only!DI$8:DI$22,uxb_ranking!AJ49))</f>
        <v>-1</v>
      </c>
      <c r="AY49" t="str">
        <f ca="1">IF(ISERROR(AK49),"",INDEX(uxb_ranking_orig_only!DJ$8:DJ$22,uxb_ranking!AK49))</f>
        <v/>
      </c>
      <c r="AZ49">
        <f ca="1">IF(ISERROR(AL49),"",INDEX(uxb_ranking_orig_only!DK$8:DK$22,uxb_ranking!AL49))</f>
        <v>1</v>
      </c>
      <c r="BA49">
        <f ca="1">IF(ISERROR(AM49),"",INDEX(uxb_ranking_orig_only!DL$8:DL$22,uxb_ranking!AM49))</f>
        <v>1</v>
      </c>
      <c r="BB49">
        <f ca="1">IF(ISERROR(AN49),"",INDEX(uxb_ranking_orig_only!DM$8:DM$22,uxb_ranking!AN49))</f>
        <v>-1</v>
      </c>
      <c r="BC49" t="str">
        <f ca="1">IF(ISERROR(AO49),"",INDEX(uxb_ranking_orig_only!DN$8:DN$22,uxb_ranking!AO49))</f>
        <v/>
      </c>
    </row>
    <row r="50" spans="35:55">
      <c r="AI50">
        <f ca="1">MATCH(AI14,uxb_ranking_orig_only!AI$8:AI$22,0)</f>
        <v>7</v>
      </c>
      <c r="AJ50">
        <f ca="1">MATCH(AJ14,uxb_ranking_orig_only!AJ$8:AJ$22,0)</f>
        <v>7</v>
      </c>
      <c r="AK50">
        <f ca="1">MATCH(AK14,uxb_ranking_orig_only!AK$8:AK$22,0)</f>
        <v>4</v>
      </c>
      <c r="AL50">
        <f ca="1">MATCH(AL14,uxb_ranking_orig_only!AL$8:AL$22,0)</f>
        <v>7</v>
      </c>
      <c r="AM50">
        <f ca="1">MATCH(AM14,uxb_ranking_orig_only!AM$8:AM$22,0)</f>
        <v>7</v>
      </c>
      <c r="AN50">
        <f ca="1">MATCH(AN14,uxb_ranking_orig_only!AN$8:AN$22,0)</f>
        <v>7</v>
      </c>
      <c r="AO50" t="e">
        <f ca="1">MATCH(AO14,uxb_ranking_orig_only!AO$8:AO$22,0)</f>
        <v>#N/A</v>
      </c>
      <c r="AQ50" t="str">
        <f ca="1">IF(ISERROR(AI50),"",INDEX(uxb_ranking_orig_only!DA$8:DA$22,uxb_ranking!AI50))</f>
        <v>+4</v>
      </c>
      <c r="AR50" t="str">
        <f ca="1">IF(ISERROR(AJ50),"",INDEX(uxb_ranking_orig_only!DB$8:DB$22,uxb_ranking!AJ50))</f>
        <v>-</v>
      </c>
      <c r="AS50" t="str">
        <f ca="1">IF(ISERROR(AK50),"",INDEX(uxb_ranking_orig_only!DC$8:DC$22,uxb_ranking!AK50))</f>
        <v>-2</v>
      </c>
      <c r="AT50" t="str">
        <f ca="1">IF(ISERROR(AL50),"",INDEX(uxb_ranking_orig_only!DD$8:DD$22,uxb_ranking!AL50))</f>
        <v>+4</v>
      </c>
      <c r="AU50" t="str">
        <f ca="1">IF(ISERROR(AM50),"",INDEX(uxb_ranking_orig_only!DE$8:DE$22,uxb_ranking!AM50))</f>
        <v>-</v>
      </c>
      <c r="AW50">
        <f ca="1">IF(ISERROR(AI50),"",INDEX(uxb_ranking_orig_only!DH$8:DH$22,uxb_ranking!AI50))</f>
        <v>1</v>
      </c>
      <c r="AX50">
        <f ca="1">IF(ISERROR(AJ50),"",INDEX(uxb_ranking_orig_only!DI$8:DI$22,uxb_ranking!AJ50))</f>
        <v>0</v>
      </c>
      <c r="AY50">
        <f ca="1">IF(ISERROR(AK50),"",INDEX(uxb_ranking_orig_only!DJ$8:DJ$22,uxb_ranking!AK50))</f>
        <v>-1</v>
      </c>
      <c r="AZ50">
        <f ca="1">IF(ISERROR(AL50),"",INDEX(uxb_ranking_orig_only!DK$8:DK$22,uxb_ranking!AL50))</f>
        <v>1</v>
      </c>
      <c r="BA50">
        <f ca="1">IF(ISERROR(AM50),"",INDEX(uxb_ranking_orig_only!DL$8:DL$22,uxb_ranking!AM50))</f>
        <v>0</v>
      </c>
      <c r="BB50">
        <f ca="1">IF(ISERROR(AN50),"",INDEX(uxb_ranking_orig_only!DM$8:DM$22,uxb_ranking!AN50))</f>
        <v>-1</v>
      </c>
      <c r="BC50" t="str">
        <f ca="1">IF(ISERROR(AO50),"",INDEX(uxb_ranking_orig_only!DN$8:DN$22,uxb_ranking!AO50))</f>
        <v/>
      </c>
    </row>
    <row r="51" spans="35:55">
      <c r="AI51">
        <f ca="1">MATCH(AI15,uxb_ranking_orig_only!AI$8:AI$22,0)</f>
        <v>8</v>
      </c>
      <c r="AJ51">
        <f ca="1">MATCH(AJ15,uxb_ranking_orig_only!AJ$8:AJ$22,0)</f>
        <v>8</v>
      </c>
      <c r="AK51">
        <f ca="1">MATCH(AK15,uxb_ranking_orig_only!AK$8:AK$22,0)</f>
        <v>5</v>
      </c>
      <c r="AL51">
        <f ca="1">MATCH(AL15,uxb_ranking_orig_only!AL$8:AL$22,0)</f>
        <v>8</v>
      </c>
      <c r="AM51">
        <f ca="1">MATCH(AM15,uxb_ranking_orig_only!AM$8:AM$22,0)</f>
        <v>8</v>
      </c>
      <c r="AN51">
        <f ca="1">MATCH(AN15,uxb_ranking_orig_only!AN$8:AN$22,0)</f>
        <v>8</v>
      </c>
      <c r="AO51" t="e">
        <f ca="1">MATCH(AO15,uxb_ranking_orig_only!AO$8:AO$22,0)</f>
        <v>#N/A</v>
      </c>
      <c r="AQ51" t="str">
        <f ca="1">IF(ISERROR(AI51),"",INDEX(uxb_ranking_orig_only!DA$8:DA$22,uxb_ranking!AI51))</f>
        <v>-1</v>
      </c>
      <c r="AR51" t="str">
        <f ca="1">IF(ISERROR(AJ51),"",INDEX(uxb_ranking_orig_only!DB$8:DB$22,uxb_ranking!AJ51))</f>
        <v>+2</v>
      </c>
      <c r="AS51" t="str">
        <f ca="1">IF(ISERROR(AK51),"",INDEX(uxb_ranking_orig_only!DC$8:DC$22,uxb_ranking!AK51))</f>
        <v>+2</v>
      </c>
      <c r="AT51" t="str">
        <f ca="1">IF(ISERROR(AL51),"",INDEX(uxb_ranking_orig_only!DD$8:DD$22,uxb_ranking!AL51))</f>
        <v>-7</v>
      </c>
      <c r="AU51" t="str">
        <f ca="1">IF(ISERROR(AM51),"",INDEX(uxb_ranking_orig_only!DE$8:DE$22,uxb_ranking!AM51))</f>
        <v>-3</v>
      </c>
      <c r="AW51">
        <f ca="1">IF(ISERROR(AI51),"",INDEX(uxb_ranking_orig_only!DH$8:DH$22,uxb_ranking!AI51))</f>
        <v>-1</v>
      </c>
      <c r="AX51">
        <f ca="1">IF(ISERROR(AJ51),"",INDEX(uxb_ranking_orig_only!DI$8:DI$22,uxb_ranking!AJ51))</f>
        <v>1</v>
      </c>
      <c r="AY51">
        <f ca="1">IF(ISERROR(AK51),"",INDEX(uxb_ranking_orig_only!DJ$8:DJ$22,uxb_ranking!AK51))</f>
        <v>1</v>
      </c>
      <c r="AZ51">
        <f ca="1">IF(ISERROR(AL51),"",INDEX(uxb_ranking_orig_only!DK$8:DK$22,uxb_ranking!AL51))</f>
        <v>-1</v>
      </c>
      <c r="BA51">
        <f ca="1">IF(ISERROR(AM51),"",INDEX(uxb_ranking_orig_only!DL$8:DL$22,uxb_ranking!AM51))</f>
        <v>-1</v>
      </c>
      <c r="BB51">
        <f ca="1">IF(ISERROR(AN51),"",INDEX(uxb_ranking_orig_only!DM$8:DM$22,uxb_ranking!AN51))</f>
        <v>0</v>
      </c>
      <c r="BC51" t="str">
        <f ca="1">IF(ISERROR(AO51),"",INDEX(uxb_ranking_orig_only!DN$8:DN$22,uxb_ranking!AO51))</f>
        <v/>
      </c>
    </row>
    <row r="52" spans="35:55">
      <c r="AI52">
        <f ca="1">MATCH(AI16,uxb_ranking_orig_only!AI$8:AI$22,0)</f>
        <v>9</v>
      </c>
      <c r="AJ52">
        <f ca="1">MATCH(AJ16,uxb_ranking_orig_only!AJ$8:AJ$22,0)</f>
        <v>9</v>
      </c>
      <c r="AK52">
        <f ca="1">MATCH(AK16,uxb_ranking_orig_only!AK$8:AK$22,0)</f>
        <v>6</v>
      </c>
      <c r="AL52" t="e">
        <f ca="1">MATCH(AL16,uxb_ranking_orig_only!AL$8:AL$22,0)</f>
        <v>#N/A</v>
      </c>
      <c r="AM52" t="e">
        <f ca="1">MATCH(AM16,uxb_ranking_orig_only!AM$8:AM$22,0)</f>
        <v>#N/A</v>
      </c>
      <c r="AN52">
        <f ca="1">MATCH(AN16,uxb_ranking_orig_only!AN$8:AN$22,0)</f>
        <v>9</v>
      </c>
      <c r="AO52" t="e">
        <f ca="1">MATCH(AO16,uxb_ranking_orig_only!AO$8:AO$22,0)</f>
        <v>#N/A</v>
      </c>
      <c r="AQ52" t="str">
        <f ca="1">IF(ISERROR(AI52),"",INDEX(uxb_ranking_orig_only!DA$8:DA$22,uxb_ranking!AI52))</f>
        <v>-4</v>
      </c>
      <c r="AR52" t="str">
        <f ca="1">IF(ISERROR(AJ52),"",INDEX(uxb_ranking_orig_only!DB$8:DB$22,uxb_ranking!AJ52))</f>
        <v>-</v>
      </c>
      <c r="AS52" t="str">
        <f ca="1">IF(ISERROR(AK52),"",INDEX(uxb_ranking_orig_only!DC$8:DC$22,uxb_ranking!AK52))</f>
        <v>-</v>
      </c>
      <c r="AT52" t="str">
        <f ca="1">IF(ISERROR(AL52),"",INDEX(uxb_ranking_orig_only!DD$8:DD$22,uxb_ranking!AL52))</f>
        <v/>
      </c>
      <c r="AU52" t="str">
        <f ca="1">IF(ISERROR(AM52),"",INDEX(uxb_ranking_orig_only!DE$8:DE$22,uxb_ranking!AM52))</f>
        <v/>
      </c>
      <c r="AW52">
        <f ca="1">IF(ISERROR(AI52),"",INDEX(uxb_ranking_orig_only!DH$8:DH$22,uxb_ranking!AI52))</f>
        <v>-1</v>
      </c>
      <c r="AX52">
        <f ca="1">IF(ISERROR(AJ52),"",INDEX(uxb_ranking_orig_only!DI$8:DI$22,uxb_ranking!AJ52))</f>
        <v>0</v>
      </c>
      <c r="AY52">
        <f ca="1">IF(ISERROR(AK52),"",INDEX(uxb_ranking_orig_only!DJ$8:DJ$22,uxb_ranking!AK52))</f>
        <v>0</v>
      </c>
      <c r="AZ52" t="str">
        <f ca="1">IF(ISERROR(AL52),"",INDEX(uxb_ranking_orig_only!DK$8:DK$22,uxb_ranking!AL52))</f>
        <v/>
      </c>
      <c r="BA52" t="str">
        <f ca="1">IF(ISERROR(AM52),"",INDEX(uxb_ranking_orig_only!DL$8:DL$22,uxb_ranking!AM52))</f>
        <v/>
      </c>
      <c r="BB52">
        <f ca="1">IF(ISERROR(AN52),"",INDEX(uxb_ranking_orig_only!DM$8:DM$22,uxb_ranking!AN52))</f>
        <v>-1</v>
      </c>
      <c r="BC52" t="str">
        <f ca="1">IF(ISERROR(AO52),"",INDEX(uxb_ranking_orig_only!DN$8:DN$22,uxb_ranking!AO52))</f>
        <v/>
      </c>
    </row>
    <row r="53" spans="35:55">
      <c r="AI53">
        <f ca="1">MATCH(AI17,uxb_ranking_orig_only!AI$8:AI$22,0)</f>
        <v>10</v>
      </c>
      <c r="AJ53" t="e">
        <f ca="1">MATCH(AJ17,uxb_ranking_orig_only!AJ$8:AJ$22,0)</f>
        <v>#N/A</v>
      </c>
      <c r="AK53">
        <f ca="1">MATCH(AK17,uxb_ranking_orig_only!AK$8:AK$22,0)</f>
        <v>7</v>
      </c>
      <c r="AL53">
        <f ca="1">MATCH(AL17,uxb_ranking_orig_only!AL$8:AL$22,0)</f>
        <v>9</v>
      </c>
      <c r="AM53">
        <f ca="1">MATCH(AM17,uxb_ranking_orig_only!AM$8:AM$22,0)</f>
        <v>9</v>
      </c>
      <c r="AN53">
        <f ca="1">MATCH(AN17,uxb_ranking_orig_only!AN$8:AN$22,0)</f>
        <v>10</v>
      </c>
      <c r="AO53" t="e">
        <f ca="1">MATCH(AO17,uxb_ranking_orig_only!AO$8:AO$22,0)</f>
        <v>#N/A</v>
      </c>
      <c r="AQ53" t="str">
        <f ca="1">IF(ISERROR(AI53),"",INDEX(uxb_ranking_orig_only!DA$8:DA$22,uxb_ranking!AI53))</f>
        <v>-2</v>
      </c>
      <c r="AR53" t="str">
        <f ca="1">IF(ISERROR(AJ53),"",INDEX(uxb_ranking_orig_only!DB$8:DB$22,uxb_ranking!AJ53))</f>
        <v/>
      </c>
      <c r="AS53" t="str">
        <f ca="1">IF(ISERROR(AK53),"",INDEX(uxb_ranking_orig_only!DC$8:DC$22,uxb_ranking!AK53))</f>
        <v>-</v>
      </c>
      <c r="AT53" t="str">
        <f ca="1">IF(ISERROR(AL53),"",INDEX(uxb_ranking_orig_only!DD$8:DD$22,uxb_ranking!AL53))</f>
        <v>-2</v>
      </c>
      <c r="AU53" t="str">
        <f ca="1">IF(ISERROR(AM53),"",INDEX(uxb_ranking_orig_only!DE$8:DE$22,uxb_ranking!AM53))</f>
        <v>-</v>
      </c>
      <c r="AW53">
        <f ca="1">IF(ISERROR(AI53),"",INDEX(uxb_ranking_orig_only!DH$8:DH$22,uxb_ranking!AI53))</f>
        <v>-1</v>
      </c>
      <c r="AX53" t="str">
        <f ca="1">IF(ISERROR(AJ53),"",INDEX(uxb_ranking_orig_only!DI$8:DI$22,uxb_ranking!AJ53))</f>
        <v/>
      </c>
      <c r="AY53">
        <f ca="1">IF(ISERROR(AK53),"",INDEX(uxb_ranking_orig_only!DJ$8:DJ$22,uxb_ranking!AK53))</f>
        <v>0</v>
      </c>
      <c r="AZ53">
        <f ca="1">IF(ISERROR(AL53),"",INDEX(uxb_ranking_orig_only!DK$8:DK$22,uxb_ranking!AL53))</f>
        <v>-1</v>
      </c>
      <c r="BA53">
        <f ca="1">IF(ISERROR(AM53),"",INDEX(uxb_ranking_orig_only!DL$8:DL$22,uxb_ranking!AM53))</f>
        <v>0</v>
      </c>
      <c r="BB53">
        <f ca="1">IF(ISERROR(AN53),"",INDEX(uxb_ranking_orig_only!DM$8:DM$22,uxb_ranking!AN53))</f>
        <v>-1</v>
      </c>
      <c r="BC53" t="str">
        <f ca="1">IF(ISERROR(AO53),"",INDEX(uxb_ranking_orig_only!DN$8:DN$22,uxb_ranking!AO53))</f>
        <v/>
      </c>
    </row>
    <row r="54" spans="35:55">
      <c r="AI54" t="e">
        <f ca="1">MATCH(AI18,uxb_ranking_orig_only!AI$8:AI$22,0)</f>
        <v>#N/A</v>
      </c>
      <c r="AJ54">
        <f ca="1">MATCH(AJ18,uxb_ranking_orig_only!AJ$8:AJ$22,0)</f>
        <v>10</v>
      </c>
      <c r="AK54">
        <f ca="1">MATCH(AK18,uxb_ranking_orig_only!AK$8:AK$22,0)</f>
        <v>8</v>
      </c>
      <c r="AL54">
        <f ca="1">MATCH(AL18,uxb_ranking_orig_only!AL$8:AL$22,0)</f>
        <v>10</v>
      </c>
      <c r="AM54" t="e">
        <f ca="1">MATCH(AM18,uxb_ranking_orig_only!AM$8:AM$22,0)</f>
        <v>#N/A</v>
      </c>
      <c r="AN54">
        <f ca="1">MATCH(AN18,uxb_ranking_orig_only!AN$8:AN$22,0)</f>
        <v>11</v>
      </c>
      <c r="AO54" t="e">
        <f ca="1">MATCH(AO18,uxb_ranking_orig_only!AO$8:AO$22,0)</f>
        <v>#N/A</v>
      </c>
      <c r="AQ54" t="str">
        <f ca="1">IF(ISERROR(AI54),"",INDEX(uxb_ranking_orig_only!DA$8:DA$22,uxb_ranking!AI54))</f>
        <v/>
      </c>
      <c r="AR54" t="str">
        <f ca="1">IF(ISERROR(AJ54),"",INDEX(uxb_ranking_orig_only!DB$8:DB$22,uxb_ranking!AJ54))</f>
        <v>-2</v>
      </c>
      <c r="AS54" t="str">
        <f ca="1">IF(ISERROR(AK54),"",INDEX(uxb_ranking_orig_only!DC$8:DC$22,uxb_ranking!AK54))</f>
        <v>-3</v>
      </c>
      <c r="AT54" t="str">
        <f ca="1">IF(ISERROR(AL54),"",INDEX(uxb_ranking_orig_only!DD$8:DD$22,uxb_ranking!AL54))</f>
        <v>+3</v>
      </c>
      <c r="AU54" t="str">
        <f ca="1">IF(ISERROR(AM54),"",INDEX(uxb_ranking_orig_only!DE$8:DE$22,uxb_ranking!AM54))</f>
        <v/>
      </c>
      <c r="AW54" t="str">
        <f ca="1">IF(ISERROR(AI54),"",INDEX(uxb_ranking_orig_only!DH$8:DH$22,uxb_ranking!AI54))</f>
        <v/>
      </c>
      <c r="AX54">
        <f ca="1">IF(ISERROR(AJ54),"",INDEX(uxb_ranking_orig_only!DI$8:DI$22,uxb_ranking!AJ54))</f>
        <v>-1</v>
      </c>
      <c r="AY54">
        <f ca="1">IF(ISERROR(AK54),"",INDEX(uxb_ranking_orig_only!DJ$8:DJ$22,uxb_ranking!AK54))</f>
        <v>-1</v>
      </c>
      <c r="AZ54">
        <f ca="1">IF(ISERROR(AL54),"",INDEX(uxb_ranking_orig_only!DK$8:DK$22,uxb_ranking!AL54))</f>
        <v>1</v>
      </c>
      <c r="BA54" t="str">
        <f ca="1">IF(ISERROR(AM54),"",INDEX(uxb_ranking_orig_only!DL$8:DL$22,uxb_ranking!AM54))</f>
        <v/>
      </c>
      <c r="BB54">
        <f ca="1">IF(ISERROR(AN54),"",INDEX(uxb_ranking_orig_only!DM$8:DM$22,uxb_ranking!AN54))</f>
        <v>-1</v>
      </c>
      <c r="BC54" t="str">
        <f ca="1">IF(ISERROR(AO54),"",INDEX(uxb_ranking_orig_only!DN$8:DN$22,uxb_ranking!AO54))</f>
        <v/>
      </c>
    </row>
    <row r="55" spans="35:55">
      <c r="AI55" t="e">
        <f ca="1">MATCH(AI19,uxb_ranking_orig_only!AI$8:AI$22,0)</f>
        <v>#N/A</v>
      </c>
      <c r="AJ55" t="e">
        <f ca="1">MATCH(AJ19,uxb_ranking_orig_only!AJ$8:AJ$22,0)</f>
        <v>#N/A</v>
      </c>
      <c r="AK55">
        <f ca="1">MATCH(AK19,uxb_ranking_orig_only!AK$8:AK$22,0)</f>
        <v>9</v>
      </c>
      <c r="AL55">
        <f ca="1">MATCH(AL19,uxb_ranking_orig_only!AL$8:AL$22,0)</f>
        <v>11</v>
      </c>
      <c r="AM55">
        <f ca="1">MATCH(AM19,uxb_ranking_orig_only!AM$8:AM$22,0)</f>
        <v>10</v>
      </c>
      <c r="AN55">
        <f ca="1">MATCH(AN19,uxb_ranking_orig_only!AN$8:AN$22,0)</f>
        <v>12</v>
      </c>
      <c r="AO55" t="e">
        <f ca="1">MATCH(AO19,uxb_ranking_orig_only!AO$8:AO$22,0)</f>
        <v>#N/A</v>
      </c>
      <c r="AQ55" t="str">
        <f ca="1">IF(ISERROR(AI55),"",INDEX(uxb_ranking_orig_only!DA$8:DA$22,uxb_ranking!AI55))</f>
        <v/>
      </c>
      <c r="AR55" t="str">
        <f ca="1">IF(ISERROR(AJ55),"",INDEX(uxb_ranking_orig_only!DB$8:DB$22,uxb_ranking!AJ55))</f>
        <v/>
      </c>
      <c r="AS55" t="str">
        <f ca="1">IF(ISERROR(AK55),"",INDEX(uxb_ranking_orig_only!DC$8:DC$22,uxb_ranking!AK55))</f>
        <v>+4</v>
      </c>
      <c r="AT55" t="str">
        <f ca="1">IF(ISERROR(AL55),"",INDEX(uxb_ranking_orig_only!DD$8:DD$22,uxb_ranking!AL55))</f>
        <v>-</v>
      </c>
      <c r="AU55" t="str">
        <f ca="1">IF(ISERROR(AM55),"",INDEX(uxb_ranking_orig_only!DE$8:DE$22,uxb_ranking!AM55))</f>
        <v>-</v>
      </c>
      <c r="AW55" t="str">
        <f ca="1">IF(ISERROR(AI55),"",INDEX(uxb_ranking_orig_only!DH$8:DH$22,uxb_ranking!AI55))</f>
        <v/>
      </c>
      <c r="AX55" t="str">
        <f ca="1">IF(ISERROR(AJ55),"",INDEX(uxb_ranking_orig_only!DI$8:DI$22,uxb_ranking!AJ55))</f>
        <v/>
      </c>
      <c r="AY55">
        <f ca="1">IF(ISERROR(AK55),"",INDEX(uxb_ranking_orig_only!DJ$8:DJ$22,uxb_ranking!AK55))</f>
        <v>1</v>
      </c>
      <c r="AZ55">
        <f ca="1">IF(ISERROR(AL55),"",INDEX(uxb_ranking_orig_only!DK$8:DK$22,uxb_ranking!AL55))</f>
        <v>0</v>
      </c>
      <c r="BA55">
        <f ca="1">IF(ISERROR(AM55),"",INDEX(uxb_ranking_orig_only!DL$8:DL$22,uxb_ranking!AM55))</f>
        <v>0</v>
      </c>
      <c r="BB55">
        <f ca="1">IF(ISERROR(AN55),"",INDEX(uxb_ranking_orig_only!DM$8:DM$22,uxb_ranking!AN55))</f>
        <v>0</v>
      </c>
      <c r="BC55" t="str">
        <f ca="1">IF(ISERROR(AO55),"",INDEX(uxb_ranking_orig_only!DN$8:DN$22,uxb_ranking!AO55))</f>
        <v/>
      </c>
    </row>
    <row r="56" spans="35:55">
      <c r="AI56">
        <f ca="1">MATCH(AI20,uxb_ranking_orig_only!AI$8:AI$22,0)</f>
        <v>11</v>
      </c>
      <c r="AJ56">
        <f ca="1">MATCH(AJ20,uxb_ranking_orig_only!AJ$8:AJ$22,0)</f>
        <v>11</v>
      </c>
      <c r="AK56">
        <f ca="1">MATCH(AK20,uxb_ranking_orig_only!AK$8:AK$22,0)</f>
        <v>10</v>
      </c>
      <c r="AL56">
        <f ca="1">MATCH(AL20,uxb_ranking_orig_only!AL$8:AL$22,0)</f>
        <v>12</v>
      </c>
      <c r="AM56">
        <f ca="1">MATCH(AM20,uxb_ranking_orig_only!AM$8:AM$22,0)</f>
        <v>11</v>
      </c>
      <c r="AN56">
        <f ca="1">MATCH(AN20,uxb_ranking_orig_only!AN$8:AN$22,0)</f>
        <v>13</v>
      </c>
      <c r="AO56" t="e">
        <f ca="1">MATCH(AO20,uxb_ranking_orig_only!AO$8:AO$22,0)</f>
        <v>#N/A</v>
      </c>
      <c r="AQ56" t="str">
        <f ca="1">IF(ISERROR(AI56),"",INDEX(uxb_ranking_orig_only!DA$8:DA$22,uxb_ranking!AI56))</f>
        <v>-3</v>
      </c>
      <c r="AR56" t="str">
        <f ca="1">IF(ISERROR(AJ56),"",INDEX(uxb_ranking_orig_only!DB$8:DB$22,uxb_ranking!AJ56))</f>
        <v>+1</v>
      </c>
      <c r="AS56" t="str">
        <f ca="1">IF(ISERROR(AK56),"",INDEX(uxb_ranking_orig_only!DC$8:DC$22,uxb_ranking!AK56))</f>
        <v>-</v>
      </c>
      <c r="AT56" t="str">
        <f ca="1">IF(ISERROR(AL56),"",INDEX(uxb_ranking_orig_only!DD$8:DD$22,uxb_ranking!AL56))</f>
        <v>-</v>
      </c>
      <c r="AU56" t="str">
        <f ca="1">IF(ISERROR(AM56),"",INDEX(uxb_ranking_orig_only!DE$8:DE$22,uxb_ranking!AM56))</f>
        <v>-1</v>
      </c>
      <c r="AW56">
        <f ca="1">IF(ISERROR(AI56),"",INDEX(uxb_ranking_orig_only!DH$8:DH$22,uxb_ranking!AI56))</f>
        <v>-1</v>
      </c>
      <c r="AX56">
        <f ca="1">IF(ISERROR(AJ56),"",INDEX(uxb_ranking_orig_only!DI$8:DI$22,uxb_ranking!AJ56))</f>
        <v>1</v>
      </c>
      <c r="AY56">
        <f ca="1">IF(ISERROR(AK56),"",INDEX(uxb_ranking_orig_only!DJ$8:DJ$22,uxb_ranking!AK56))</f>
        <v>0</v>
      </c>
      <c r="AZ56">
        <f ca="1">IF(ISERROR(AL56),"",INDEX(uxb_ranking_orig_only!DK$8:DK$22,uxb_ranking!AL56))</f>
        <v>0</v>
      </c>
      <c r="BA56">
        <f ca="1">IF(ISERROR(AM56),"",INDEX(uxb_ranking_orig_only!DL$8:DL$22,uxb_ranking!AM56))</f>
        <v>-1</v>
      </c>
      <c r="BB56">
        <f ca="1">IF(ISERROR(AN56),"",INDEX(uxb_ranking_orig_only!DM$8:DM$22,uxb_ranking!AN56))</f>
        <v>-1</v>
      </c>
      <c r="BC56" t="str">
        <f ca="1">IF(ISERROR(AO56),"",INDEX(uxb_ranking_orig_only!DN$8:DN$22,uxb_ranking!AO56))</f>
        <v/>
      </c>
    </row>
    <row r="57" spans="35:55">
      <c r="AI57">
        <f ca="1">MATCH(AI21,uxb_ranking_orig_only!AI$8:AI$22,0)</f>
        <v>12</v>
      </c>
      <c r="AJ57" t="e">
        <f ca="1">MATCH(AJ21,uxb_ranking_orig_only!AJ$8:AJ$22,0)</f>
        <v>#N/A</v>
      </c>
      <c r="AK57">
        <f ca="1">MATCH(AK21,uxb_ranking_orig_only!AK$8:AK$22,0)</f>
        <v>11</v>
      </c>
      <c r="AL57" t="e">
        <f ca="1">MATCH(AL21,uxb_ranking_orig_only!AL$8:AL$22,0)</f>
        <v>#N/A</v>
      </c>
      <c r="AM57">
        <f ca="1">MATCH(AM21,uxb_ranking_orig_only!AM$8:AM$22,0)</f>
        <v>12</v>
      </c>
      <c r="AN57">
        <f ca="1">MATCH(AN21,uxb_ranking_orig_only!AN$8:AN$22,0)</f>
        <v>14</v>
      </c>
      <c r="AO57" t="e">
        <f ca="1">MATCH(AO21,uxb_ranking_orig_only!AO$8:AO$22,0)</f>
        <v>#N/A</v>
      </c>
      <c r="AQ57" t="str">
        <f ca="1">IF(ISERROR(AI57),"",INDEX(uxb_ranking_orig_only!DA$8:DA$22,uxb_ranking!AI57))</f>
        <v>-</v>
      </c>
      <c r="AR57" t="str">
        <f ca="1">IF(ISERROR(AJ57),"",INDEX(uxb_ranking_orig_only!DB$8:DB$22,uxb_ranking!AJ57))</f>
        <v/>
      </c>
      <c r="AS57" t="str">
        <f ca="1">IF(ISERROR(AK57),"",INDEX(uxb_ranking_orig_only!DC$8:DC$22,uxb_ranking!AK57))</f>
        <v>+1</v>
      </c>
      <c r="AT57" t="str">
        <f ca="1">IF(ISERROR(AL57),"",INDEX(uxb_ranking_orig_only!DD$8:DD$22,uxb_ranking!AL57))</f>
        <v/>
      </c>
      <c r="AU57" t="str">
        <f ca="1">IF(ISERROR(AM57),"",INDEX(uxb_ranking_orig_only!DE$8:DE$22,uxb_ranking!AM57))</f>
        <v>-1</v>
      </c>
      <c r="AW57">
        <f ca="1">IF(ISERROR(AI57),"",INDEX(uxb_ranking_orig_only!DH$8:DH$22,uxb_ranking!AI57))</f>
        <v>0</v>
      </c>
      <c r="AX57" t="str">
        <f ca="1">IF(ISERROR(AJ57),"",INDEX(uxb_ranking_orig_only!DI$8:DI$22,uxb_ranking!AJ57))</f>
        <v/>
      </c>
      <c r="AY57">
        <f ca="1">IF(ISERROR(AK57),"",INDEX(uxb_ranking_orig_only!DJ$8:DJ$22,uxb_ranking!AK57))</f>
        <v>1</v>
      </c>
      <c r="AZ57" t="str">
        <f ca="1">IF(ISERROR(AL57),"",INDEX(uxb_ranking_orig_only!DK$8:DK$22,uxb_ranking!AL57))</f>
        <v/>
      </c>
      <c r="BA57">
        <f ca="1">IF(ISERROR(AM57),"",INDEX(uxb_ranking_orig_only!DL$8:DL$22,uxb_ranking!AM57))</f>
        <v>-1</v>
      </c>
      <c r="BB57">
        <f ca="1">IF(ISERROR(AN57),"",INDEX(uxb_ranking_orig_only!DM$8:DM$22,uxb_ranking!AN57))</f>
        <v>-1</v>
      </c>
      <c r="BC57" t="str">
        <f ca="1">IF(ISERROR(AO57),"",INDEX(uxb_ranking_orig_only!DN$8:DN$22,uxb_ranking!AO57))</f>
        <v/>
      </c>
    </row>
    <row r="58" spans="35:55">
      <c r="AI58" t="e">
        <f ca="1">MATCH(AI22,uxb_ranking_orig_only!AI$8:AI$22,0)</f>
        <v>#N/A</v>
      </c>
      <c r="AJ58">
        <f ca="1">MATCH(AJ22,uxb_ranking_orig_only!AJ$8:AJ$22,0)</f>
        <v>12</v>
      </c>
      <c r="AK58">
        <f ca="1">MATCH(AK22,uxb_ranking_orig_only!AK$8:AK$22,0)</f>
        <v>12</v>
      </c>
      <c r="AL58">
        <f ca="1">MATCH(AL22,uxb_ranking_orig_only!AL$8:AL$22,0)</f>
        <v>13</v>
      </c>
      <c r="AM58" t="e">
        <f ca="1">MATCH(AM22,uxb_ranking_orig_only!AM$8:AM$22,0)</f>
        <v>#N/A</v>
      </c>
      <c r="AN58">
        <f ca="1">MATCH(AN22,uxb_ranking_orig_only!AN$8:AN$22,0)</f>
        <v>15</v>
      </c>
      <c r="AO58" t="e">
        <f ca="1">MATCH(AO22,uxb_ranking_orig_only!AO$8:AO$22,0)</f>
        <v>#N/A</v>
      </c>
      <c r="AQ58" t="str">
        <f ca="1">IF(ISERROR(AI58),"",INDEX(uxb_ranking_orig_only!DA$8:DA$22,uxb_ranking!AI58))</f>
        <v/>
      </c>
      <c r="AR58" t="str">
        <f ca="1">IF(ISERROR(AJ58),"",INDEX(uxb_ranking_orig_only!DB$8:DB$22,uxb_ranking!AJ58))</f>
        <v>-4</v>
      </c>
      <c r="AS58" t="str">
        <f ca="1">IF(ISERROR(AK58),"",INDEX(uxb_ranking_orig_only!DC$8:DC$22,uxb_ranking!AK58))</f>
        <v>+3</v>
      </c>
      <c r="AT58" t="str">
        <f ca="1">IF(ISERROR(AL58),"",INDEX(uxb_ranking_orig_only!DD$8:DD$22,uxb_ranking!AL58))</f>
        <v>-2</v>
      </c>
      <c r="AU58" t="str">
        <f ca="1">IF(ISERROR(AM58),"",INDEX(uxb_ranking_orig_only!DE$8:DE$22,uxb_ranking!AM58))</f>
        <v/>
      </c>
      <c r="AW58" t="str">
        <f ca="1">IF(ISERROR(AI58),"",INDEX(uxb_ranking_orig_only!DH$8:DH$22,uxb_ranking!AI58))</f>
        <v/>
      </c>
      <c r="AX58">
        <f ca="1">IF(ISERROR(AJ58),"",INDEX(uxb_ranking_orig_only!DI$8:DI$22,uxb_ranking!AJ58))</f>
        <v>-1</v>
      </c>
      <c r="AY58">
        <f ca="1">IF(ISERROR(AK58),"",INDEX(uxb_ranking_orig_only!DJ$8:DJ$22,uxb_ranking!AK58))</f>
        <v>1</v>
      </c>
      <c r="AZ58">
        <f ca="1">IF(ISERROR(AL58),"",INDEX(uxb_ranking_orig_only!DK$8:DK$22,uxb_ranking!AL58))</f>
        <v>-1</v>
      </c>
      <c r="BA58" t="str">
        <f ca="1">IF(ISERROR(AM58),"",INDEX(uxb_ranking_orig_only!DL$8:DL$22,uxb_ranking!AM58))</f>
        <v/>
      </c>
      <c r="BB58">
        <f ca="1">IF(ISERROR(AN58),"",INDEX(uxb_ranking_orig_only!DM$8:DM$22,uxb_ranking!AN58))</f>
        <v>-1</v>
      </c>
      <c r="BC58" t="str">
        <f ca="1">IF(ISERROR(AO58),"",INDEX(uxb_ranking_orig_only!DN$8:DN$22,uxb_ranking!AO58))</f>
        <v/>
      </c>
    </row>
    <row r="59" spans="35:55">
      <c r="AI59" t="e">
        <f ca="1">MATCH(AI23,uxb_ranking_orig_only!AI$8:AI$22,0)</f>
        <v>#N/A</v>
      </c>
      <c r="AJ59" t="e">
        <f ca="1">MATCH(AJ23,uxb_ranking_orig_only!AJ$8:AJ$22,0)</f>
        <v>#N/A</v>
      </c>
      <c r="AK59">
        <f ca="1">MATCH(AK23,uxb_ranking_orig_only!AK$8:AK$22,0)</f>
        <v>13</v>
      </c>
      <c r="AL59" t="e">
        <f ca="1">MATCH(AL23,uxb_ranking_orig_only!AL$8:AL$22,0)</f>
        <v>#N/A</v>
      </c>
      <c r="AM59">
        <f ca="1">MATCH(AM23,uxb_ranking_orig_only!AM$8:AM$22,0)</f>
        <v>13</v>
      </c>
      <c r="AN59" t="e">
        <f ca="1">MATCH(AN23,uxb_ranking_orig_only!AN$8:AN$22,0)</f>
        <v>#N/A</v>
      </c>
      <c r="AO59" t="e">
        <f ca="1">MATCH(AO23,uxb_ranking_orig_only!AO$8:AO$22,0)</f>
        <v>#N/A</v>
      </c>
      <c r="AQ59" t="str">
        <f ca="1">IF(ISERROR(AI59),"",INDEX(uxb_ranking_orig_only!DA$8:DA$22,uxb_ranking!AI59))</f>
        <v/>
      </c>
      <c r="AR59" t="str">
        <f ca="1">IF(ISERROR(AJ59),"",INDEX(uxb_ranking_orig_only!DB$8:DB$22,uxb_ranking!AJ59))</f>
        <v/>
      </c>
      <c r="AS59" t="str">
        <f ca="1">IF(ISERROR(AK59),"",INDEX(uxb_ranking_orig_only!DC$8:DC$22,uxb_ranking!AK59))</f>
        <v>+1</v>
      </c>
      <c r="AT59" t="str">
        <f ca="1">IF(ISERROR(AL59),"",INDEX(uxb_ranking_orig_only!DD$8:DD$22,uxb_ranking!AL59))</f>
        <v/>
      </c>
      <c r="AU59" t="str">
        <f ca="1">IF(ISERROR(AM59),"",INDEX(uxb_ranking_orig_only!DE$8:DE$22,uxb_ranking!AM59))</f>
        <v>-1</v>
      </c>
      <c r="AW59" t="str">
        <f ca="1">IF(ISERROR(AI59),"",INDEX(uxb_ranking_orig_only!DH$8:DH$22,uxb_ranking!AI59))</f>
        <v/>
      </c>
      <c r="AX59" t="str">
        <f ca="1">IF(ISERROR(AJ59),"",INDEX(uxb_ranking_orig_only!DI$8:DI$22,uxb_ranking!AJ59))</f>
        <v/>
      </c>
      <c r="AY59">
        <f ca="1">IF(ISERROR(AK59),"",INDEX(uxb_ranking_orig_only!DJ$8:DJ$22,uxb_ranking!AK59))</f>
        <v>1</v>
      </c>
      <c r="AZ59" t="str">
        <f ca="1">IF(ISERROR(AL59),"",INDEX(uxb_ranking_orig_only!DK$8:DK$22,uxb_ranking!AL59))</f>
        <v/>
      </c>
      <c r="BA59">
        <f ca="1">IF(ISERROR(AM59),"",INDEX(uxb_ranking_orig_only!DL$8:DL$22,uxb_ranking!AM59))</f>
        <v>-1</v>
      </c>
      <c r="BB59" t="str">
        <f ca="1">IF(ISERROR(AN59),"",INDEX(uxb_ranking_orig_only!DM$8:DM$22,uxb_ranking!AN59))</f>
        <v/>
      </c>
      <c r="BC59" t="str">
        <f ca="1">IF(ISERROR(AO59),"",INDEX(uxb_ranking_orig_only!DN$8:DN$22,uxb_ranking!AO59))</f>
        <v/>
      </c>
    </row>
    <row r="60" spans="35:55">
      <c r="AI60">
        <f ca="1">MATCH(AI24,uxb_ranking_orig_only!AI$8:AI$22,0)</f>
        <v>13</v>
      </c>
      <c r="AJ60">
        <f ca="1">MATCH(AJ24,uxb_ranking_orig_only!AJ$8:AJ$22,0)</f>
        <v>13</v>
      </c>
      <c r="AK60">
        <f ca="1">MATCH(AK24,uxb_ranking_orig_only!AK$8:AK$22,0)</f>
        <v>14</v>
      </c>
      <c r="AL60" t="e">
        <f ca="1">MATCH(AL24,uxb_ranking_orig_only!AL$8:AL$22,0)</f>
        <v>#N/A</v>
      </c>
      <c r="AM60" t="e">
        <f ca="1">MATCH(AM24,uxb_ranking_orig_only!AM$8:AM$22,0)</f>
        <v>#N/A</v>
      </c>
      <c r="AN60" t="e">
        <f ca="1">MATCH(AN24,uxb_ranking_orig_only!AN$8:AN$22,0)</f>
        <v>#N/A</v>
      </c>
      <c r="AO60" t="e">
        <f ca="1">MATCH(AO24,uxb_ranking_orig_only!AO$8:AO$22,0)</f>
        <v>#N/A</v>
      </c>
      <c r="AQ60" t="str">
        <f ca="1">IF(ISERROR(AI60),"",INDEX(uxb_ranking_orig_only!DA$8:DA$22,uxb_ranking!AI60))</f>
        <v>+2</v>
      </c>
      <c r="AR60" t="str">
        <f ca="1">IF(ISERROR(AJ60),"",INDEX(uxb_ranking_orig_only!DB$8:DB$22,uxb_ranking!AJ60))</f>
        <v>-</v>
      </c>
      <c r="AS60" t="str">
        <f ca="1">IF(ISERROR(AK60),"",INDEX(uxb_ranking_orig_only!DC$8:DC$22,uxb_ranking!AK60))</f>
        <v>-5</v>
      </c>
      <c r="AT60" t="str">
        <f ca="1">IF(ISERROR(AL60),"",INDEX(uxb_ranking_orig_only!DD$8:DD$22,uxb_ranking!AL60))</f>
        <v/>
      </c>
      <c r="AU60" t="str">
        <f ca="1">IF(ISERROR(AM60),"",INDEX(uxb_ranking_orig_only!DE$8:DE$22,uxb_ranking!AM60))</f>
        <v/>
      </c>
      <c r="AW60">
        <f ca="1">IF(ISERROR(AI60),"",INDEX(uxb_ranking_orig_only!DH$8:DH$22,uxb_ranking!AI60))</f>
        <v>1</v>
      </c>
      <c r="AX60">
        <f ca="1">IF(ISERROR(AJ60),"",INDEX(uxb_ranking_orig_only!DI$8:DI$22,uxb_ranking!AJ60))</f>
        <v>0</v>
      </c>
      <c r="AY60">
        <f ca="1">IF(ISERROR(AK60),"",INDEX(uxb_ranking_orig_only!DJ$8:DJ$22,uxb_ranking!AK60))</f>
        <v>-1</v>
      </c>
      <c r="AZ60" t="str">
        <f ca="1">IF(ISERROR(AL60),"",INDEX(uxb_ranking_orig_only!DK$8:DK$22,uxb_ranking!AL60))</f>
        <v/>
      </c>
      <c r="BA60" t="str">
        <f ca="1">IF(ISERROR(AM60),"",INDEX(uxb_ranking_orig_only!DL$8:DL$22,uxb_ranking!AM60))</f>
        <v/>
      </c>
      <c r="BB60" t="str">
        <f ca="1">IF(ISERROR(AN60),"",INDEX(uxb_ranking_orig_only!DM$8:DM$22,uxb_ranking!AN60))</f>
        <v/>
      </c>
      <c r="BC60" t="str">
        <f ca="1">IF(ISERROR(AO60),"",INDEX(uxb_ranking_orig_only!DN$8:DN$22,uxb_ranking!AO60))</f>
        <v/>
      </c>
    </row>
    <row r="61" spans="35:55">
      <c r="AI61">
        <f ca="1">MATCH(AI25,uxb_ranking_orig_only!AI$8:AI$22,0)</f>
        <v>14</v>
      </c>
      <c r="AJ61" t="e">
        <f ca="1">MATCH(AJ25,uxb_ranking_orig_only!AJ$8:AJ$22,0)</f>
        <v>#N/A</v>
      </c>
      <c r="AK61" t="e">
        <f ca="1">MATCH(AK25,uxb_ranking_orig_only!AK$8:AK$22,0)</f>
        <v>#N/A</v>
      </c>
      <c r="AL61">
        <f ca="1">MATCH(AL25,uxb_ranking_orig_only!AL$8:AL$22,0)</f>
        <v>14</v>
      </c>
      <c r="AM61" t="e">
        <f ca="1">MATCH(AM25,uxb_ranking_orig_only!AM$8:AM$22,0)</f>
        <v>#N/A</v>
      </c>
      <c r="AN61" t="e">
        <f ca="1">MATCH(AN25,uxb_ranking_orig_only!AN$8:AN$22,0)</f>
        <v>#N/A</v>
      </c>
      <c r="AO61" t="e">
        <f ca="1">MATCH(AO25,uxb_ranking_orig_only!AO$8:AO$22,0)</f>
        <v>#N/A</v>
      </c>
      <c r="AQ61" t="str">
        <f ca="1">IF(ISERROR(AI61),"",INDEX(uxb_ranking_orig_only!DA$8:DA$22,uxb_ranking!AI61))</f>
        <v>-1</v>
      </c>
      <c r="AR61" t="str">
        <f ca="1">IF(ISERROR(AJ61),"",INDEX(uxb_ranking_orig_only!DB$8:DB$22,uxb_ranking!AJ61))</f>
        <v/>
      </c>
      <c r="AS61" t="str">
        <f ca="1">IF(ISERROR(AK61),"",INDEX(uxb_ranking_orig_only!DC$8:DC$22,uxb_ranking!AK61))</f>
        <v/>
      </c>
      <c r="AT61" t="str">
        <f ca="1">IF(ISERROR(AL61),"",INDEX(uxb_ranking_orig_only!DD$8:DD$22,uxb_ranking!AL61))</f>
        <v>-1</v>
      </c>
      <c r="AU61" t="str">
        <f ca="1">IF(ISERROR(AM61),"",INDEX(uxb_ranking_orig_only!DE$8:DE$22,uxb_ranking!AM61))</f>
        <v/>
      </c>
      <c r="AW61">
        <f ca="1">IF(ISERROR(AI61),"",INDEX(uxb_ranking_orig_only!DH$8:DH$22,uxb_ranking!AI61))</f>
        <v>-1</v>
      </c>
      <c r="AX61" t="str">
        <f ca="1">IF(ISERROR(AJ61),"",INDEX(uxb_ranking_orig_only!DI$8:DI$22,uxb_ranking!AJ61))</f>
        <v/>
      </c>
      <c r="AY61" t="str">
        <f ca="1">IF(ISERROR(AK61),"",INDEX(uxb_ranking_orig_only!DJ$8:DJ$22,uxb_ranking!AK61))</f>
        <v/>
      </c>
      <c r="AZ61">
        <f ca="1">IF(ISERROR(AL61),"",INDEX(uxb_ranking_orig_only!DK$8:DK$22,uxb_ranking!AL61))</f>
        <v>-1</v>
      </c>
      <c r="BA61" t="str">
        <f ca="1">IF(ISERROR(AM61),"",INDEX(uxb_ranking_orig_only!DL$8:DL$22,uxb_ranking!AM61))</f>
        <v/>
      </c>
      <c r="BB61" t="str">
        <f ca="1">IF(ISERROR(AN61),"",INDEX(uxb_ranking_orig_only!DM$8:DM$22,uxb_ranking!AN61))</f>
        <v/>
      </c>
      <c r="BC61" t="str">
        <f ca="1">IF(ISERROR(AO61),"",INDEX(uxb_ranking_orig_only!DN$8:DN$22,uxb_ranking!AO61))</f>
        <v/>
      </c>
    </row>
    <row r="62" spans="35:55">
      <c r="AI62">
        <f ca="1">MATCH(AI26,uxb_ranking_orig_only!AI$8:AI$22,0)</f>
        <v>15</v>
      </c>
      <c r="AJ62">
        <f ca="1">MATCH(AJ26,uxb_ranking_orig_only!AJ$8:AJ$22,0)</f>
        <v>14</v>
      </c>
      <c r="AK62">
        <f ca="1">MATCH(AK26,uxb_ranking_orig_only!AK$8:AK$22,0)</f>
        <v>15</v>
      </c>
      <c r="AL62">
        <f ca="1">MATCH(AL26,uxb_ranking_orig_only!AL$8:AL$22,0)</f>
        <v>15</v>
      </c>
      <c r="AM62">
        <f ca="1">MATCH(AM26,uxb_ranking_orig_only!AM$8:AM$22,0)</f>
        <v>14</v>
      </c>
      <c r="AN62" t="e">
        <f ca="1">MATCH(AN26,uxb_ranking_orig_only!AN$8:AN$22,0)</f>
        <v>#N/A</v>
      </c>
      <c r="AO62" t="e">
        <f ca="1">MATCH(AO26,uxb_ranking_orig_only!AO$8:AO$22,0)</f>
        <v>#N/A</v>
      </c>
      <c r="AQ62" t="str">
        <f ca="1">IF(ISERROR(AI62),"",INDEX(uxb_ranking_orig_only!DA$8:DA$22,uxb_ranking!AI62))</f>
        <v>-1</v>
      </c>
      <c r="AR62" t="str">
        <f ca="1">IF(ISERROR(AJ62),"",INDEX(uxb_ranking_orig_only!DB$8:DB$22,uxb_ranking!AJ62))</f>
        <v>-</v>
      </c>
      <c r="AS62" t="str">
        <f ca="1">IF(ISERROR(AK62),"",INDEX(uxb_ranking_orig_only!DC$8:DC$22,uxb_ranking!AK62))</f>
        <v>-5</v>
      </c>
      <c r="AT62" t="str">
        <f ca="1">IF(ISERROR(AL62),"",INDEX(uxb_ranking_orig_only!DD$8:DD$22,uxb_ranking!AL62))</f>
        <v>+1</v>
      </c>
      <c r="AU62" t="str">
        <f ca="1">IF(ISERROR(AM62),"",INDEX(uxb_ranking_orig_only!DE$8:DE$22,uxb_ranking!AM62))</f>
        <v>-1</v>
      </c>
      <c r="AW62">
        <f ca="1">IF(ISERROR(AI62),"",INDEX(uxb_ranking_orig_only!DH$8:DH$22,uxb_ranking!AI62))</f>
        <v>-1</v>
      </c>
      <c r="AX62">
        <f ca="1">IF(ISERROR(AJ62),"",INDEX(uxb_ranking_orig_only!DI$8:DI$22,uxb_ranking!AJ62))</f>
        <v>0</v>
      </c>
      <c r="AY62">
        <f ca="1">IF(ISERROR(AK62),"",INDEX(uxb_ranking_orig_only!DJ$8:DJ$22,uxb_ranking!AK62))</f>
        <v>-1</v>
      </c>
      <c r="AZ62">
        <f ca="1">IF(ISERROR(AL62),"",INDEX(uxb_ranking_orig_only!DK$8:DK$22,uxb_ranking!AL62))</f>
        <v>1</v>
      </c>
      <c r="BA62">
        <f ca="1">IF(ISERROR(AM62),"",INDEX(uxb_ranking_orig_only!DL$8:DL$22,uxb_ranking!AM62))</f>
        <v>-1</v>
      </c>
      <c r="BB62" t="str">
        <f ca="1">IF(ISERROR(AN62),"",INDEX(uxb_ranking_orig_only!DM$8:DM$22,uxb_ranking!AN62))</f>
        <v/>
      </c>
      <c r="BC62" t="str">
        <f ca="1">IF(ISERROR(AO62),"",INDEX(uxb_ranking_orig_only!DN$8:DN$22,uxb_ranking!AO62))</f>
        <v/>
      </c>
    </row>
    <row r="63" spans="35:55">
      <c r="AI63" t="e">
        <f ca="1">MATCH(AI27,uxb_ranking_orig_only!AI$8:AI$22,0)</f>
        <v>#N/A</v>
      </c>
      <c r="AJ63">
        <f ca="1">MATCH(AJ27,uxb_ranking_orig_only!AJ$8:AJ$22,0)</f>
        <v>15</v>
      </c>
      <c r="AK63" t="e">
        <f ca="1">MATCH(AK27,uxb_ranking_orig_only!AK$8:AK$22,0)</f>
        <v>#N/A</v>
      </c>
      <c r="AL63" t="e">
        <f ca="1">MATCH(AL27,uxb_ranking_orig_only!AL$8:AL$22,0)</f>
        <v>#N/A</v>
      </c>
      <c r="AM63">
        <f ca="1">MATCH(AM27,uxb_ranking_orig_only!AM$8:AM$22,0)</f>
        <v>15</v>
      </c>
      <c r="AN63" t="e">
        <f ca="1">MATCH(AN27,uxb_ranking_orig_only!AN$8:AN$22,0)</f>
        <v>#N/A</v>
      </c>
      <c r="AO63" t="e">
        <f ca="1">MATCH(AO27,uxb_ranking_orig_only!AO$8:AO$22,0)</f>
        <v>#N/A</v>
      </c>
      <c r="AQ63" t="str">
        <f ca="1">IF(ISERROR(AI63),"",INDEX(uxb_ranking_orig_only!DA$8:DA$22,uxb_ranking!AI63))</f>
        <v/>
      </c>
      <c r="AR63" t="str">
        <f ca="1">IF(ISERROR(AJ63),"",INDEX(uxb_ranking_orig_only!DB$8:DB$22,uxb_ranking!AJ63))</f>
        <v>-</v>
      </c>
      <c r="AS63" t="str">
        <f ca="1">IF(ISERROR(AK63),"",INDEX(uxb_ranking_orig_only!DC$8:DC$22,uxb_ranking!AK63))</f>
        <v/>
      </c>
      <c r="AT63" t="str">
        <f ca="1">IF(ISERROR(AL63),"",INDEX(uxb_ranking_orig_only!DD$8:DD$22,uxb_ranking!AL63))</f>
        <v/>
      </c>
      <c r="AU63" t="str">
        <f ca="1">IF(ISERROR(AM63),"",INDEX(uxb_ranking_orig_only!DE$8:DE$22,uxb_ranking!AM63))</f>
        <v>-1</v>
      </c>
      <c r="AW63" t="str">
        <f ca="1">IF(ISERROR(AI63),"",INDEX(uxb_ranking_orig_only!DH$8:DH$22,uxb_ranking!AI63))</f>
        <v/>
      </c>
      <c r="AX63">
        <f ca="1">IF(ISERROR(AJ63),"",INDEX(uxb_ranking_orig_only!DI$8:DI$22,uxb_ranking!AJ63))</f>
        <v>0</v>
      </c>
      <c r="AY63" t="str">
        <f ca="1">IF(ISERROR(AK63),"",INDEX(uxb_ranking_orig_only!DJ$8:DJ$22,uxb_ranking!AK63))</f>
        <v/>
      </c>
      <c r="AZ63" t="str">
        <f ca="1">IF(ISERROR(AL63),"",INDEX(uxb_ranking_orig_only!DK$8:DK$22,uxb_ranking!AL63))</f>
        <v/>
      </c>
      <c r="BA63">
        <f ca="1">IF(ISERROR(AM63),"",INDEX(uxb_ranking_orig_only!DL$8:DL$22,uxb_ranking!AM63))</f>
        <v>-1</v>
      </c>
      <c r="BB63" t="str">
        <f ca="1">IF(ISERROR(AN63),"",INDEX(uxb_ranking_orig_only!DM$8:DM$22,uxb_ranking!AN63))</f>
        <v/>
      </c>
      <c r="BC63" t="str">
        <f ca="1">IF(ISERROR(AO63),"",INDEX(uxb_ranking_orig_only!DN$8:DN$22,uxb_ranking!AO63))</f>
        <v/>
      </c>
    </row>
    <row r="64" spans="35:55">
      <c r="AI64" t="e">
        <f ca="1">MATCH(AI28,uxb_ranking_orig_only!AI$8:AI$22,0)</f>
        <v>#N/A</v>
      </c>
      <c r="AJ64" t="e">
        <f ca="1">MATCH(AJ28,uxb_ranking_orig_only!AJ$8:AJ$22,0)</f>
        <v>#N/A</v>
      </c>
      <c r="AK64" t="e">
        <f ca="1">MATCH(AK28,uxb_ranking_orig_only!AK$8:AK$22,0)</f>
        <v>#N/A</v>
      </c>
      <c r="AL64" t="e">
        <f ca="1">MATCH(AL28,uxb_ranking_orig_only!AL$8:AL$22,0)</f>
        <v>#N/A</v>
      </c>
      <c r="AM64" t="e">
        <f ca="1">MATCH(AM28,uxb_ranking_orig_only!AM$8:AM$22,0)</f>
        <v>#N/A</v>
      </c>
      <c r="AN64" t="e">
        <f ca="1">MATCH(AN28,uxb_ranking_orig_only!AN$8:AN$22,0)</f>
        <v>#N/A</v>
      </c>
      <c r="AO64" t="e">
        <f ca="1">MATCH(AO28,uxb_ranking_orig_only!AO$8:AO$22,0)</f>
        <v>#N/A</v>
      </c>
      <c r="AQ64" t="str">
        <f ca="1">IF(ISERROR(AI64),"",INDEX(uxb_ranking_orig_only!DA$8:DA$22,uxb_ranking!AI64))</f>
        <v/>
      </c>
      <c r="AR64" t="str">
        <f ca="1">IF(ISERROR(AJ64),"",INDEX(uxb_ranking_orig_only!DB$8:DB$22,uxb_ranking!AJ64))</f>
        <v/>
      </c>
      <c r="AS64" t="str">
        <f ca="1">IF(ISERROR(AK64),"",INDEX(uxb_ranking_orig_only!DC$8:DC$22,uxb_ranking!AK64))</f>
        <v/>
      </c>
      <c r="AT64" t="str">
        <f ca="1">IF(ISERROR(AL64),"",INDEX(uxb_ranking_orig_only!DD$8:DD$22,uxb_ranking!AL64))</f>
        <v/>
      </c>
      <c r="AU64" t="str">
        <f ca="1">IF(ISERROR(AM64),"",INDEX(uxb_ranking_orig_only!DE$8:DE$22,uxb_ranking!AM64))</f>
        <v/>
      </c>
      <c r="AW64" t="str">
        <f ca="1">IF(ISERROR(AI64),"",INDEX(uxb_ranking_orig_only!DH$8:DH$22,uxb_ranking!AI64))</f>
        <v/>
      </c>
      <c r="AX64" t="str">
        <f ca="1">IF(ISERROR(AJ64),"",INDEX(uxb_ranking_orig_only!DI$8:DI$22,uxb_ranking!AJ64))</f>
        <v/>
      </c>
      <c r="AY64" t="str">
        <f ca="1">IF(ISERROR(AK64),"",INDEX(uxb_ranking_orig_only!DJ$8:DJ$22,uxb_ranking!AK64))</f>
        <v/>
      </c>
      <c r="AZ64" t="str">
        <f ca="1">IF(ISERROR(AL64),"",INDEX(uxb_ranking_orig_only!DK$8:DK$22,uxb_ranking!AL64))</f>
        <v/>
      </c>
      <c r="BA64" t="str">
        <f ca="1">IF(ISERROR(AM64),"",INDEX(uxb_ranking_orig_only!DL$8:DL$22,uxb_ranking!AM64))</f>
        <v/>
      </c>
      <c r="BB64" t="str">
        <f ca="1">IF(ISERROR(AN64),"",INDEX(uxb_ranking_orig_only!DM$8:DM$22,uxb_ranking!AN64))</f>
        <v/>
      </c>
      <c r="BC64" t="str">
        <f ca="1">IF(ISERROR(AO64),"",INDEX(uxb_ranking_orig_only!DN$8:DN$22,uxb_ranking!AO64))</f>
        <v/>
      </c>
    </row>
    <row r="65" spans="35:55">
      <c r="AI65" t="e">
        <f ca="1">MATCH(AI29,uxb_ranking_orig_only!AI$8:AI$22,0)</f>
        <v>#N/A</v>
      </c>
      <c r="AJ65" t="e">
        <f ca="1">MATCH(AJ29,uxb_ranking_orig_only!AJ$8:AJ$22,0)</f>
        <v>#N/A</v>
      </c>
      <c r="AK65" t="e">
        <f ca="1">MATCH(AK29,uxb_ranking_orig_only!AK$8:AK$22,0)</f>
        <v>#N/A</v>
      </c>
      <c r="AL65" t="e">
        <f ca="1">MATCH(AL29,uxb_ranking_orig_only!AL$8:AL$22,0)</f>
        <v>#N/A</v>
      </c>
      <c r="AM65" t="e">
        <f ca="1">MATCH(AM29,uxb_ranking_orig_only!AM$8:AM$22,0)</f>
        <v>#N/A</v>
      </c>
      <c r="AN65" t="e">
        <f ca="1">MATCH(AN29,uxb_ranking_orig_only!AN$8:AN$22,0)</f>
        <v>#N/A</v>
      </c>
      <c r="AO65" t="e">
        <f ca="1">MATCH(AO29,uxb_ranking_orig_only!AO$8:AO$22,0)</f>
        <v>#N/A</v>
      </c>
      <c r="AQ65" t="str">
        <f ca="1">IF(ISERROR(AI65),"",INDEX(uxb_ranking_orig_only!DA$8:DA$22,uxb_ranking!AI65))</f>
        <v/>
      </c>
      <c r="AR65" t="str">
        <f ca="1">IF(ISERROR(AJ65),"",INDEX(uxb_ranking_orig_only!DB$8:DB$22,uxb_ranking!AJ65))</f>
        <v/>
      </c>
      <c r="AS65" t="str">
        <f ca="1">IF(ISERROR(AK65),"",INDEX(uxb_ranking_orig_only!DC$8:DC$22,uxb_ranking!AK65))</f>
        <v/>
      </c>
      <c r="AT65" t="str">
        <f ca="1">IF(ISERROR(AL65),"",INDEX(uxb_ranking_orig_only!DD$8:DD$22,uxb_ranking!AL65))</f>
        <v/>
      </c>
      <c r="AU65" t="str">
        <f ca="1">IF(ISERROR(AM65),"",INDEX(uxb_ranking_orig_only!DE$8:DE$22,uxb_ranking!AM65))</f>
        <v/>
      </c>
      <c r="AW65" t="str">
        <f ca="1">IF(ISERROR(AI65),"",INDEX(uxb_ranking_orig_only!DH$8:DH$22,uxb_ranking!AI65))</f>
        <v/>
      </c>
      <c r="AX65" t="str">
        <f ca="1">IF(ISERROR(AJ65),"",INDEX(uxb_ranking_orig_only!DI$8:DI$22,uxb_ranking!AJ65))</f>
        <v/>
      </c>
      <c r="AY65" t="str">
        <f ca="1">IF(ISERROR(AK65),"",INDEX(uxb_ranking_orig_only!DJ$8:DJ$22,uxb_ranking!AK65))</f>
        <v/>
      </c>
      <c r="AZ65" t="str">
        <f ca="1">IF(ISERROR(AL65),"",INDEX(uxb_ranking_orig_only!DK$8:DK$22,uxb_ranking!AL65))</f>
        <v/>
      </c>
      <c r="BA65" t="str">
        <f ca="1">IF(ISERROR(AM65),"",INDEX(uxb_ranking_orig_only!DL$8:DL$22,uxb_ranking!AM65))</f>
        <v/>
      </c>
      <c r="BB65" t="str">
        <f ca="1">IF(ISERROR(AN65),"",INDEX(uxb_ranking_orig_only!DM$8:DM$22,uxb_ranking!AN65))</f>
        <v/>
      </c>
      <c r="BC65" t="str">
        <f ca="1">IF(ISERROR(AO65),"",INDEX(uxb_ranking_orig_only!DN$8:DN$22,uxb_ranking!AO65))</f>
        <v/>
      </c>
    </row>
    <row r="66" spans="35:55">
      <c r="AI66" t="e">
        <f ca="1">MATCH(AI30,uxb_ranking_orig_only!AI$8:AI$22,0)</f>
        <v>#N/A</v>
      </c>
      <c r="AJ66" t="e">
        <f ca="1">MATCH(AJ30,uxb_ranking_orig_only!AJ$8:AJ$22,0)</f>
        <v>#N/A</v>
      </c>
      <c r="AK66" t="e">
        <f ca="1">MATCH(AK30,uxb_ranking_orig_only!AK$8:AK$22,0)</f>
        <v>#N/A</v>
      </c>
      <c r="AL66" t="e">
        <f ca="1">MATCH(AL30,uxb_ranking_orig_only!AL$8:AL$22,0)</f>
        <v>#N/A</v>
      </c>
      <c r="AM66" t="e">
        <f ca="1">MATCH(AM30,uxb_ranking_orig_only!AM$8:AM$22,0)</f>
        <v>#N/A</v>
      </c>
      <c r="AN66" t="e">
        <f ca="1">MATCH(AN30,uxb_ranking_orig_only!AN$8:AN$22,0)</f>
        <v>#N/A</v>
      </c>
      <c r="AO66" t="e">
        <f ca="1">MATCH(AO30,uxb_ranking_orig_only!AO$8:AO$22,0)</f>
        <v>#N/A</v>
      </c>
      <c r="AQ66" t="str">
        <f ca="1">IF(ISERROR(AI66),"",INDEX(uxb_ranking_orig_only!DA$8:DA$22,uxb_ranking!AI66))</f>
        <v/>
      </c>
      <c r="AR66" t="str">
        <f ca="1">IF(ISERROR(AJ66),"",INDEX(uxb_ranking_orig_only!DB$8:DB$22,uxb_ranking!AJ66))</f>
        <v/>
      </c>
      <c r="AS66" t="str">
        <f ca="1">IF(ISERROR(AK66),"",INDEX(uxb_ranking_orig_only!DC$8:DC$22,uxb_ranking!AK66))</f>
        <v/>
      </c>
      <c r="AT66" t="str">
        <f ca="1">IF(ISERROR(AL66),"",INDEX(uxb_ranking_orig_only!DD$8:DD$22,uxb_ranking!AL66))</f>
        <v/>
      </c>
      <c r="AU66" t="str">
        <f ca="1">IF(ISERROR(AM66),"",INDEX(uxb_ranking_orig_only!DE$8:DE$22,uxb_ranking!AM66))</f>
        <v/>
      </c>
      <c r="AW66" t="str">
        <f ca="1">IF(ISERROR(AI66),"",INDEX(uxb_ranking_orig_only!DH$8:DH$22,uxb_ranking!AI66))</f>
        <v/>
      </c>
      <c r="AX66" t="str">
        <f ca="1">IF(ISERROR(AJ66),"",INDEX(uxb_ranking_orig_only!DI$8:DI$22,uxb_ranking!AJ66))</f>
        <v/>
      </c>
      <c r="AY66" t="str">
        <f ca="1">IF(ISERROR(AK66),"",INDEX(uxb_ranking_orig_only!DJ$8:DJ$22,uxb_ranking!AK66))</f>
        <v/>
      </c>
      <c r="AZ66" t="str">
        <f ca="1">IF(ISERROR(AL66),"",INDEX(uxb_ranking_orig_only!DK$8:DK$22,uxb_ranking!AL66))</f>
        <v/>
      </c>
      <c r="BA66" t="str">
        <f ca="1">IF(ISERROR(AM66),"",INDEX(uxb_ranking_orig_only!DL$8:DL$22,uxb_ranking!AM66))</f>
        <v/>
      </c>
      <c r="BB66" t="str">
        <f ca="1">IF(ISERROR(AN66),"",INDEX(uxb_ranking_orig_only!DM$8:DM$22,uxb_ranking!AN66))</f>
        <v/>
      </c>
      <c r="BC66" t="str">
        <f ca="1">IF(ISERROR(AO66),"",INDEX(uxb_ranking_orig_only!DN$8:DN$22,uxb_ranking!AO66))</f>
        <v/>
      </c>
    </row>
    <row r="67" spans="35:55">
      <c r="AI67" t="e">
        <f ca="1">MATCH(AI31,uxb_ranking_orig_only!AI$8:AI$22,0)</f>
        <v>#N/A</v>
      </c>
      <c r="AJ67" t="e">
        <f ca="1">MATCH(AJ31,uxb_ranking_orig_only!AJ$8:AJ$22,0)</f>
        <v>#N/A</v>
      </c>
      <c r="AK67" t="e">
        <f ca="1">MATCH(AK31,uxb_ranking_orig_only!AK$8:AK$22,0)</f>
        <v>#N/A</v>
      </c>
      <c r="AL67" t="e">
        <f ca="1">MATCH(AL31,uxb_ranking_orig_only!AL$8:AL$22,0)</f>
        <v>#N/A</v>
      </c>
      <c r="AM67" t="e">
        <f ca="1">MATCH(AM31,uxb_ranking_orig_only!AM$8:AM$22,0)</f>
        <v>#N/A</v>
      </c>
      <c r="AN67" t="e">
        <f ca="1">MATCH(AN31,uxb_ranking_orig_only!AN$8:AN$22,0)</f>
        <v>#N/A</v>
      </c>
      <c r="AO67" t="e">
        <f ca="1">MATCH(AO31,uxb_ranking_orig_only!AO$8:AO$22,0)</f>
        <v>#N/A</v>
      </c>
      <c r="AQ67" t="str">
        <f ca="1">IF(ISERROR(AI67),"",INDEX(uxb_ranking_orig_only!DA$8:DA$22,uxb_ranking!AI67))</f>
        <v/>
      </c>
      <c r="AR67" t="str">
        <f ca="1">IF(ISERROR(AJ67),"",INDEX(uxb_ranking_orig_only!DB$8:DB$22,uxb_ranking!AJ67))</f>
        <v/>
      </c>
      <c r="AS67" t="str">
        <f ca="1">IF(ISERROR(AK67),"",INDEX(uxb_ranking_orig_only!DC$8:DC$22,uxb_ranking!AK67))</f>
        <v/>
      </c>
      <c r="AT67" t="str">
        <f ca="1">IF(ISERROR(AL67),"",INDEX(uxb_ranking_orig_only!DD$8:DD$22,uxb_ranking!AL67))</f>
        <v/>
      </c>
      <c r="AU67" t="str">
        <f ca="1">IF(ISERROR(AM67),"",INDEX(uxb_ranking_orig_only!DE$8:DE$22,uxb_ranking!AM67))</f>
        <v/>
      </c>
      <c r="AW67" t="str">
        <f ca="1">IF(ISERROR(AI67),"",INDEX(uxb_ranking_orig_only!DH$8:DH$22,uxb_ranking!AI67))</f>
        <v/>
      </c>
      <c r="AX67" t="str">
        <f ca="1">IF(ISERROR(AJ67),"",INDEX(uxb_ranking_orig_only!DI$8:DI$22,uxb_ranking!AJ67))</f>
        <v/>
      </c>
      <c r="AY67" t="str">
        <f ca="1">IF(ISERROR(AK67),"",INDEX(uxb_ranking_orig_only!DJ$8:DJ$22,uxb_ranking!AK67))</f>
        <v/>
      </c>
      <c r="AZ67" t="str">
        <f ca="1">IF(ISERROR(AL67),"",INDEX(uxb_ranking_orig_only!DK$8:DK$22,uxb_ranking!AL67))</f>
        <v/>
      </c>
      <c r="BA67" t="str">
        <f ca="1">IF(ISERROR(AM67),"",INDEX(uxb_ranking_orig_only!DL$8:DL$22,uxb_ranking!AM67))</f>
        <v/>
      </c>
      <c r="BB67" t="str">
        <f ca="1">IF(ISERROR(AN67),"",INDEX(uxb_ranking_orig_only!DM$8:DM$22,uxb_ranking!AN67))</f>
        <v/>
      </c>
      <c r="BC67" t="str">
        <f ca="1">IF(ISERROR(AO67),"",INDEX(uxb_ranking_orig_only!DN$8:DN$22,uxb_ranking!AO67))</f>
        <v/>
      </c>
    </row>
    <row r="68" spans="35:55">
      <c r="AI68" t="e">
        <f ca="1">MATCH(AI32,uxb_ranking_orig_only!AI$8:AI$22,0)</f>
        <v>#N/A</v>
      </c>
      <c r="AJ68" t="e">
        <f ca="1">MATCH(AJ32,uxb_ranking_orig_only!AJ$8:AJ$22,0)</f>
        <v>#N/A</v>
      </c>
      <c r="AK68" t="e">
        <f ca="1">MATCH(AK32,uxb_ranking_orig_only!AK$8:AK$22,0)</f>
        <v>#N/A</v>
      </c>
      <c r="AL68" t="e">
        <f ca="1">MATCH(AL32,uxb_ranking_orig_only!AL$8:AL$22,0)</f>
        <v>#N/A</v>
      </c>
      <c r="AM68" t="e">
        <f ca="1">MATCH(AM32,uxb_ranking_orig_only!AM$8:AM$22,0)</f>
        <v>#N/A</v>
      </c>
      <c r="AN68" t="e">
        <f ca="1">MATCH(AN32,uxb_ranking_orig_only!AN$8:AN$22,0)</f>
        <v>#N/A</v>
      </c>
      <c r="AO68" t="e">
        <f ca="1">MATCH(AO32,uxb_ranking_orig_only!AO$8:AO$22,0)</f>
        <v>#N/A</v>
      </c>
      <c r="AQ68" t="str">
        <f ca="1">IF(ISERROR(AI68),"",INDEX(uxb_ranking_orig_only!DA$8:DA$22,uxb_ranking!AI68))</f>
        <v/>
      </c>
      <c r="AR68" t="str">
        <f ca="1">IF(ISERROR(AJ68),"",INDEX(uxb_ranking_orig_only!DB$8:DB$22,uxb_ranking!AJ68))</f>
        <v/>
      </c>
      <c r="AS68" t="str">
        <f ca="1">IF(ISERROR(AK68),"",INDEX(uxb_ranking_orig_only!DC$8:DC$22,uxb_ranking!AK68))</f>
        <v/>
      </c>
      <c r="AT68" t="str">
        <f ca="1">IF(ISERROR(AL68),"",INDEX(uxb_ranking_orig_only!DD$8:DD$22,uxb_ranking!AL68))</f>
        <v/>
      </c>
      <c r="AU68" t="str">
        <f ca="1">IF(ISERROR(AM68),"",INDEX(uxb_ranking_orig_only!DE$8:DE$22,uxb_ranking!AM68))</f>
        <v/>
      </c>
      <c r="AW68" t="str">
        <f ca="1">IF(ISERROR(AI68),"",INDEX(uxb_ranking_orig_only!DH$8:DH$22,uxb_ranking!AI68))</f>
        <v/>
      </c>
      <c r="AX68" t="str">
        <f ca="1">IF(ISERROR(AJ68),"",INDEX(uxb_ranking_orig_only!DI$8:DI$22,uxb_ranking!AJ68))</f>
        <v/>
      </c>
      <c r="AY68" t="str">
        <f ca="1">IF(ISERROR(AK68),"",INDEX(uxb_ranking_orig_only!DJ$8:DJ$22,uxb_ranking!AK68))</f>
        <v/>
      </c>
      <c r="AZ68" t="str">
        <f ca="1">IF(ISERROR(AL68),"",INDEX(uxb_ranking_orig_only!DK$8:DK$22,uxb_ranking!AL68))</f>
        <v/>
      </c>
      <c r="BA68" t="str">
        <f ca="1">IF(ISERROR(AM68),"",INDEX(uxb_ranking_orig_only!DL$8:DL$22,uxb_ranking!AM68))</f>
        <v/>
      </c>
      <c r="BB68" t="str">
        <f ca="1">IF(ISERROR(AN68),"",INDEX(uxb_ranking_orig_only!DM$8:DM$22,uxb_ranking!AN68))</f>
        <v/>
      </c>
      <c r="BC68" t="str">
        <f ca="1">IF(ISERROR(AO68),"",INDEX(uxb_ranking_orig_only!DN$8:DN$22,uxb_ranking!AO68))</f>
        <v/>
      </c>
    </row>
  </sheetData>
  <phoneticPr fontId="2"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sheetPr codeName="Sheet11">
    <pageSetUpPr fitToPage="1"/>
  </sheetPr>
  <dimension ref="A1:K25"/>
  <sheetViews>
    <sheetView showGridLines="0" showRowColHeaders="0" tabSelected="1" workbookViewId="0">
      <selection activeCell="M8" sqref="M8"/>
    </sheetView>
  </sheetViews>
  <sheetFormatPr defaultRowHeight="12.75"/>
  <cols>
    <col min="1" max="1" width="5.7109375" style="87" customWidth="1"/>
    <col min="2" max="10" width="9.140625" style="87"/>
    <col min="11" max="11" width="16.85546875" style="87" customWidth="1"/>
    <col min="12" max="16384" width="9.140625" style="87"/>
  </cols>
  <sheetData>
    <row r="1" spans="1:11" ht="6.75" customHeight="1"/>
    <row r="2" spans="1:11" ht="27.75" customHeight="1">
      <c r="A2" s="88"/>
      <c r="B2" s="88"/>
      <c r="C2" s="88"/>
      <c r="D2" s="88"/>
      <c r="E2" s="88"/>
      <c r="F2" s="88"/>
      <c r="G2" s="88"/>
      <c r="H2" s="88"/>
      <c r="I2" s="88"/>
      <c r="J2" s="88"/>
      <c r="K2" s="88"/>
    </row>
    <row r="10" spans="1:11">
      <c r="C10" s="89"/>
      <c r="D10" s="89"/>
      <c r="E10" s="89"/>
      <c r="F10" s="89"/>
      <c r="G10" s="89"/>
      <c r="H10" s="89"/>
      <c r="I10" s="89"/>
    </row>
    <row r="11" spans="1:11">
      <c r="C11" s="89"/>
      <c r="D11" s="89"/>
      <c r="E11" s="89"/>
      <c r="F11" s="89"/>
      <c r="G11" s="89"/>
      <c r="H11" s="89"/>
      <c r="I11" s="89"/>
    </row>
    <row r="12" spans="1:11">
      <c r="C12" s="89"/>
      <c r="D12" s="89"/>
      <c r="E12" s="89"/>
      <c r="F12" s="89"/>
      <c r="G12" s="89"/>
      <c r="H12" s="89"/>
      <c r="I12" s="89"/>
    </row>
    <row r="13" spans="1:11">
      <c r="C13" s="89"/>
      <c r="D13" s="89"/>
      <c r="E13" s="89"/>
      <c r="F13" s="89"/>
      <c r="G13" s="89"/>
      <c r="H13" s="89"/>
      <c r="I13" s="89"/>
    </row>
    <row r="14" spans="1:11" ht="15.75">
      <c r="C14" s="215"/>
      <c r="D14" s="215"/>
      <c r="E14" s="215"/>
      <c r="F14" s="216"/>
      <c r="G14" s="216"/>
      <c r="H14" s="217"/>
      <c r="I14" s="217"/>
      <c r="J14" s="90"/>
    </row>
    <row r="15" spans="1:11">
      <c r="C15" s="89"/>
      <c r="D15" s="89"/>
      <c r="E15" s="89"/>
      <c r="F15" s="89"/>
      <c r="G15" s="89"/>
      <c r="H15" s="89"/>
      <c r="I15" s="89"/>
    </row>
    <row r="16" spans="1:11">
      <c r="C16" s="89"/>
      <c r="D16" s="89"/>
      <c r="E16" s="89"/>
      <c r="F16" s="89"/>
      <c r="G16" s="89"/>
      <c r="H16" s="89"/>
      <c r="I16" s="89"/>
    </row>
    <row r="17" spans="3:9">
      <c r="C17" s="89"/>
      <c r="D17" s="89"/>
      <c r="E17" s="89"/>
      <c r="F17" s="89"/>
      <c r="G17" s="89"/>
      <c r="H17" s="89"/>
      <c r="I17" s="89"/>
    </row>
    <row r="18" spans="3:9">
      <c r="C18" s="89"/>
      <c r="D18" s="89"/>
      <c r="E18" s="89"/>
      <c r="F18" s="89"/>
      <c r="G18" s="89"/>
      <c r="H18" s="89"/>
      <c r="I18" s="89"/>
    </row>
    <row r="19" spans="3:9">
      <c r="C19" s="89"/>
      <c r="D19" s="89"/>
      <c r="E19" s="89"/>
      <c r="F19" s="89"/>
      <c r="G19" s="89"/>
      <c r="H19" s="89"/>
      <c r="I19" s="89"/>
    </row>
    <row r="20" spans="3:9">
      <c r="C20" s="89"/>
      <c r="D20" s="89"/>
      <c r="E20" s="89"/>
      <c r="F20" s="89"/>
      <c r="G20" s="89"/>
      <c r="H20" s="89"/>
      <c r="I20" s="89"/>
    </row>
    <row r="21" spans="3:9">
      <c r="C21" s="91"/>
      <c r="D21" s="91"/>
      <c r="E21" s="91"/>
      <c r="F21" s="91"/>
      <c r="G21" s="91"/>
      <c r="H21" s="91"/>
      <c r="I21" s="91"/>
    </row>
    <row r="22" spans="3:9">
      <c r="C22" s="91"/>
      <c r="D22" s="91"/>
      <c r="E22" s="91"/>
      <c r="F22" s="91"/>
      <c r="G22" s="91"/>
      <c r="H22" s="91"/>
      <c r="I22" s="91"/>
    </row>
    <row r="23" spans="3:9">
      <c r="C23" s="91"/>
      <c r="D23" s="91"/>
      <c r="E23" s="91"/>
      <c r="F23" s="91"/>
      <c r="G23" s="91"/>
      <c r="H23" s="91"/>
      <c r="I23" s="91"/>
    </row>
    <row r="24" spans="3:9">
      <c r="C24" s="91"/>
      <c r="D24" s="91"/>
      <c r="E24" s="91"/>
      <c r="F24" s="91"/>
      <c r="G24" s="91"/>
      <c r="H24" s="91"/>
      <c r="I24" s="91"/>
    </row>
    <row r="25" spans="3:9">
      <c r="C25" s="91"/>
      <c r="D25" s="91"/>
      <c r="E25" s="91"/>
      <c r="F25" s="91"/>
      <c r="G25" s="91"/>
      <c r="H25" s="91"/>
      <c r="I25" s="91"/>
    </row>
  </sheetData>
  <mergeCells count="3">
    <mergeCell ref="C14:E14"/>
    <mergeCell ref="F14:G14"/>
    <mergeCell ref="H14:I14"/>
  </mergeCells>
  <phoneticPr fontId="2" type="noConversion"/>
  <printOptions horizontalCentered="1" verticalCentered="1"/>
  <pageMargins left="0.74803149606299213" right="0.74803149606299213" top="0.78740157480314965" bottom="0.78740157480314965" header="0.51181102362204722" footer="0.51181102362204722"/>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sheetPr codeName="Sheet13">
    <pageSetUpPr fitToPage="1"/>
  </sheetPr>
  <dimension ref="A1"/>
  <sheetViews>
    <sheetView showGridLines="0" showRowColHeaders="0" workbookViewId="0">
      <selection activeCell="P58" sqref="P58"/>
    </sheetView>
  </sheetViews>
  <sheetFormatPr defaultRowHeight="12.75"/>
  <sheetData/>
  <phoneticPr fontId="2" type="noConversion"/>
  <printOptions horizontalCentered="1"/>
  <pageMargins left="0.39370078740157483" right="0.39370078740157483" top="0.59055118110236227" bottom="0.59055118110236227" header="0.51181102362204722" footer="0.51181102362204722"/>
  <pageSetup scale="78"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13</vt:i4>
      </vt:variant>
    </vt:vector>
  </HeadingPairs>
  <TitlesOfParts>
    <vt:vector size="38" baseType="lpstr">
      <vt:lpstr>TODO</vt:lpstr>
      <vt:lpstr>uxb_weights</vt:lpstr>
      <vt:lpstr>Ranking_delta</vt:lpstr>
      <vt:lpstr>Ranking</vt:lpstr>
      <vt:lpstr>Summary_orig</vt:lpstr>
      <vt:lpstr>YoY_Rank_Change</vt:lpstr>
      <vt:lpstr>uxb_ranking</vt:lpstr>
      <vt:lpstr>Cover</vt:lpstr>
      <vt:lpstr>Executive_summary</vt:lpstr>
      <vt:lpstr>User_guide</vt:lpstr>
      <vt:lpstr>Summary</vt:lpstr>
      <vt:lpstr>Yoy_Score_Change</vt:lpstr>
      <vt:lpstr>uxb_countries</vt:lpstr>
      <vt:lpstr>uxb_globals</vt:lpstr>
      <vt:lpstr>uxb_scores_2007</vt:lpstr>
      <vt:lpstr>uxb_ranking_orig_only</vt:lpstr>
      <vt:lpstr>uxb_scores_2008</vt:lpstr>
      <vt:lpstr>uxb_correl</vt:lpstr>
      <vt:lpstr>Scatter</vt:lpstr>
      <vt:lpstr>Indicator</vt:lpstr>
      <vt:lpstr>Country_profile</vt:lpstr>
      <vt:lpstr>Comparator</vt:lpstr>
      <vt:lpstr>Weights</vt:lpstr>
      <vt:lpstr>Scores_2008</vt:lpstr>
      <vt:lpstr>Scores_2007</vt:lpstr>
      <vt:lpstr>Comparator!Print_Area</vt:lpstr>
      <vt:lpstr>Country_profile!Print_Area</vt:lpstr>
      <vt:lpstr>Indicator!Print_Area</vt:lpstr>
      <vt:lpstr>Ranking!Print_Area</vt:lpstr>
      <vt:lpstr>Ranking_delta!Print_Area</vt:lpstr>
      <vt:lpstr>Scatter!Print_Area</vt:lpstr>
      <vt:lpstr>Scores_2007!Print_Area</vt:lpstr>
      <vt:lpstr>Scores_2008!Print_Area</vt:lpstr>
      <vt:lpstr>Summary!Print_Area</vt:lpstr>
      <vt:lpstr>Summary_orig!Print_Area</vt:lpstr>
      <vt:lpstr>Weights!Print_Area</vt:lpstr>
      <vt:lpstr>YoY_Rank_Change!Print_Area</vt:lpstr>
      <vt:lpstr>Yoy_Score_Change!Print_Area</vt:lpstr>
    </vt:vector>
  </TitlesOfParts>
  <Company>F1 Research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Economist Intelligence Unit</dc:creator>
  <cp:lastModifiedBy>anarod</cp:lastModifiedBy>
  <cp:lastPrinted>2007-09-27T15:41:05Z</cp:lastPrinted>
  <dcterms:created xsi:type="dcterms:W3CDTF">2007-09-18T10:22:18Z</dcterms:created>
  <dcterms:modified xsi:type="dcterms:W3CDTF">2010-07-09T09:56:15Z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