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charts/chart13.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320" yWindow="-375" windowWidth="13425" windowHeight="8820" tabRatio="895" firstSheet="9" activeTab="9"/>
  </bookViews>
  <sheets>
    <sheet name="tblIndicators" sheetId="4" state="hidden" r:id="rId1"/>
    <sheet name="scores_2009" sheetId="5" state="hidden" r:id="rId2"/>
    <sheet name="uxb_settings" sheetId="3" state="hidden" r:id="rId3"/>
    <sheet name="i_country" sheetId="18" state="hidden" r:id="rId4"/>
    <sheet name="SectionRanked " sheetId="16" state="hidden" r:id="rId5"/>
    <sheet name="scores_2007" sheetId="24" state="hidden" r:id="rId6"/>
    <sheet name="scores_2008" sheetId="23" state="hidden" r:id="rId7"/>
    <sheet name="i_Dist" sheetId="26" state="hidden" r:id="rId8"/>
    <sheet name="tblRegions" sheetId="2" state="hidden" r:id="rId9"/>
    <sheet name="Cover" sheetId="31" r:id="rId10"/>
    <sheet name="Executive_summary" sheetId="32" r:id="rId11"/>
    <sheet name="i_rank_2" sheetId="29" state="hidden" r:id="rId12"/>
    <sheet name="SectionsRanked" sheetId="15" r:id="rId13"/>
    <sheet name="Indicators_grouped" sheetId="9" r:id="rId14"/>
    <sheet name="Ranked" sheetId="14" r:id="rId15"/>
    <sheet name="i_quali" sheetId="7" state="hidden" r:id="rId16"/>
    <sheet name="tblIndByType" sheetId="8" state="hidden" r:id="rId17"/>
    <sheet name="uxb_weights" sheetId="11" state="hidden" r:id="rId18"/>
    <sheet name="Country_Profile" sheetId="19" r:id="rId19"/>
    <sheet name="tblCountries" sheetId="1" state="hidden" r:id="rId20"/>
    <sheet name="i_rank_i" sheetId="12" state="hidden" r:id="rId21"/>
    <sheet name="i_scatter" sheetId="17" state="hidden" r:id="rId22"/>
    <sheet name="CountryIndicators" sheetId="21" r:id="rId23"/>
    <sheet name="Country_History" sheetId="25" r:id="rId24"/>
    <sheet name="Country_YoY" sheetId="30" r:id="rId25"/>
    <sheet name="Country_Comparison" sheetId="22" r:id="rId26"/>
    <sheet name="Scatter" sheetId="20" r:id="rId27"/>
    <sheet name="Weights" sheetId="10" r:id="rId28"/>
  </sheets>
  <definedNames>
    <definedName name="country_indidata">i_country!$E$13:$E$27</definedName>
    <definedName name="indi_data">scores_2009!$I$10:$BT$28</definedName>
    <definedName name="indi_data2007">scores_2007!$I$10:$BK$28</definedName>
    <definedName name="indi_data2008">scores_2008!$I$10:$BK$28</definedName>
    <definedName name="lu_countries">tblCountries!$B$3:$B$57</definedName>
    <definedName name="lu_countries_and_regions">tblCountries!$B$3:$B$65</definedName>
    <definedName name="lu_CountryStatus">tblCountries!$H$3:$H$57</definedName>
    <definedName name="lu_RegionHighlight">tblCountries!$G$3:$G$57</definedName>
    <definedName name="lu_regions">tblRegions!$B$2:$B$10</definedName>
    <definedName name="norm_data">scores_2009!$I$3:$BT$28</definedName>
    <definedName name="norm_data2007">scores_2007!$I$3:$BK$28</definedName>
    <definedName name="norm_data2008">scores_2008!$I$3:$BK$28</definedName>
    <definedName name="text_data">scores_2009!$I$34:$BT$52</definedName>
  </definedNames>
  <calcPr calcId="114210"/>
</workbook>
</file>

<file path=xl/calcChain.xml><?xml version="1.0" encoding="utf-8"?>
<calcChain xmlns="http://schemas.openxmlformats.org/spreadsheetml/2006/main">
  <c r="B1" i="29"/>
  <c r="B7" i="3"/>
  <c r="F4" i="1"/>
  <c r="B9" i="3"/>
  <c r="G4" i="1"/>
  <c r="E4"/>
  <c r="B11" i="3"/>
  <c r="I4" i="1"/>
  <c r="G8" i="12"/>
  <c r="F5" i="1"/>
  <c r="E5"/>
  <c r="E6"/>
  <c r="F6"/>
  <c r="G6"/>
  <c r="I6"/>
  <c r="G10" i="12"/>
  <c r="E7" i="1"/>
  <c r="F8"/>
  <c r="E8"/>
  <c r="F9"/>
  <c r="E9"/>
  <c r="F10"/>
  <c r="E10"/>
  <c r="F11"/>
  <c r="E11"/>
  <c r="F12"/>
  <c r="E12"/>
  <c r="F13"/>
  <c r="E13"/>
  <c r="F14"/>
  <c r="E14"/>
  <c r="F15"/>
  <c r="E15"/>
  <c r="F16"/>
  <c r="E16"/>
  <c r="F17"/>
  <c r="E17"/>
  <c r="F18"/>
  <c r="E18"/>
  <c r="F19"/>
  <c r="E19"/>
  <c r="F20"/>
  <c r="E20"/>
  <c r="F21"/>
  <c r="E21"/>
  <c r="F22"/>
  <c r="E22"/>
  <c r="F23"/>
  <c r="E23"/>
  <c r="F24"/>
  <c r="E24"/>
  <c r="F25"/>
  <c r="E25"/>
  <c r="F26"/>
  <c r="E26"/>
  <c r="F27"/>
  <c r="E27"/>
  <c r="F28"/>
  <c r="E28"/>
  <c r="F29"/>
  <c r="E29"/>
  <c r="F30"/>
  <c r="E30"/>
  <c r="F31"/>
  <c r="E31"/>
  <c r="F32"/>
  <c r="E32"/>
  <c r="F33"/>
  <c r="E33"/>
  <c r="F34"/>
  <c r="E34"/>
  <c r="F35"/>
  <c r="E35"/>
  <c r="F36"/>
  <c r="E36"/>
  <c r="F37"/>
  <c r="E37"/>
  <c r="F38"/>
  <c r="E38"/>
  <c r="F39"/>
  <c r="E39"/>
  <c r="F40"/>
  <c r="E40"/>
  <c r="F41"/>
  <c r="E41"/>
  <c r="F42"/>
  <c r="E42"/>
  <c r="F43"/>
  <c r="E43"/>
  <c r="F44"/>
  <c r="E44"/>
  <c r="F45"/>
  <c r="E45"/>
  <c r="F46"/>
  <c r="E46"/>
  <c r="F47"/>
  <c r="E47"/>
  <c r="F48"/>
  <c r="E48"/>
  <c r="F49"/>
  <c r="E49"/>
  <c r="F50"/>
  <c r="E50"/>
  <c r="F51"/>
  <c r="E51"/>
  <c r="F52"/>
  <c r="E52"/>
  <c r="F53"/>
  <c r="E53"/>
  <c r="F54"/>
  <c r="E54"/>
  <c r="F55"/>
  <c r="E55"/>
  <c r="F56"/>
  <c r="E56"/>
  <c r="F57"/>
  <c r="E57"/>
  <c r="G58"/>
  <c r="I58"/>
  <c r="G62" i="12"/>
  <c r="AO62"/>
  <c r="G59" i="1"/>
  <c r="I59"/>
  <c r="G63" i="12"/>
  <c r="G60" i="1"/>
  <c r="I60"/>
  <c r="G64" i="12"/>
  <c r="AO64"/>
  <c r="G61" i="1"/>
  <c r="I61"/>
  <c r="G65" i="12"/>
  <c r="G62" i="1"/>
  <c r="I62"/>
  <c r="G66" i="12"/>
  <c r="AO66"/>
  <c r="G63" i="1"/>
  <c r="I63"/>
  <c r="G67" i="12"/>
  <c r="G64" i="1"/>
  <c r="I64"/>
  <c r="G68" i="12"/>
  <c r="AO68"/>
  <c r="G65" i="1"/>
  <c r="I65"/>
  <c r="G69" i="12"/>
  <c r="F3" i="1"/>
  <c r="E3"/>
  <c r="G3"/>
  <c r="I3"/>
  <c r="G7" i="12"/>
  <c r="C3" i="5"/>
  <c r="AO5" i="12"/>
  <c r="B7"/>
  <c r="B8"/>
  <c r="G5" i="1"/>
  <c r="I5"/>
  <c r="G9" i="12"/>
  <c r="B9"/>
  <c r="B10"/>
  <c r="F7" i="1"/>
  <c r="G7"/>
  <c r="I7"/>
  <c r="G11" i="12"/>
  <c r="B11"/>
  <c r="G8" i="1"/>
  <c r="I8"/>
  <c r="G12" i="12"/>
  <c r="B12"/>
  <c r="G9" i="1"/>
  <c r="I9"/>
  <c r="G13" i="12"/>
  <c r="B13"/>
  <c r="G10" i="1"/>
  <c r="I10"/>
  <c r="G14" i="12"/>
  <c r="B14"/>
  <c r="G11" i="1"/>
  <c r="I11"/>
  <c r="G15" i="12"/>
  <c r="B15"/>
  <c r="G12" i="1"/>
  <c r="I12"/>
  <c r="G16" i="12"/>
  <c r="B16"/>
  <c r="G13" i="1"/>
  <c r="I13"/>
  <c r="G17" i="12"/>
  <c r="B17"/>
  <c r="G14" i="1"/>
  <c r="I14"/>
  <c r="G18" i="12"/>
  <c r="B18"/>
  <c r="G15" i="1"/>
  <c r="I15"/>
  <c r="G19" i="12"/>
  <c r="B19"/>
  <c r="G16" i="1"/>
  <c r="I16"/>
  <c r="G20" i="12"/>
  <c r="B20"/>
  <c r="G17" i="1"/>
  <c r="I17"/>
  <c r="G21" i="12"/>
  <c r="B21"/>
  <c r="G18" i="1"/>
  <c r="I18"/>
  <c r="G22" i="12"/>
  <c r="B22"/>
  <c r="G19" i="1"/>
  <c r="I19"/>
  <c r="G23" i="12"/>
  <c r="B23"/>
  <c r="G20" i="1"/>
  <c r="I20"/>
  <c r="G24" i="12"/>
  <c r="B24"/>
  <c r="G21" i="1"/>
  <c r="I21"/>
  <c r="G25" i="12"/>
  <c r="B25"/>
  <c r="G22" i="1"/>
  <c r="I22"/>
  <c r="G26" i="12"/>
  <c r="B26"/>
  <c r="G23" i="1"/>
  <c r="I23"/>
  <c r="G27" i="12"/>
  <c r="B27"/>
  <c r="G24" i="1"/>
  <c r="I24"/>
  <c r="G28" i="12"/>
  <c r="B28"/>
  <c r="G25" i="1"/>
  <c r="I25"/>
  <c r="G29" i="12"/>
  <c r="B29"/>
  <c r="G26" i="1"/>
  <c r="I26"/>
  <c r="G30" i="12"/>
  <c r="B30"/>
  <c r="G27" i="1"/>
  <c r="I27"/>
  <c r="G31" i="12"/>
  <c r="B31"/>
  <c r="G28" i="1"/>
  <c r="I28"/>
  <c r="G32" i="12"/>
  <c r="B32"/>
  <c r="G29" i="1"/>
  <c r="I29"/>
  <c r="G33" i="12"/>
  <c r="B33"/>
  <c r="G30" i="1"/>
  <c r="I30"/>
  <c r="G34" i="12"/>
  <c r="B34"/>
  <c r="G31" i="1"/>
  <c r="I31"/>
  <c r="G35" i="12"/>
  <c r="B35"/>
  <c r="G32" i="1"/>
  <c r="I32"/>
  <c r="G36" i="12"/>
  <c r="B36"/>
  <c r="G33" i="1"/>
  <c r="I33"/>
  <c r="G37" i="12"/>
  <c r="B37"/>
  <c r="G34" i="1"/>
  <c r="I34"/>
  <c r="G38" i="12"/>
  <c r="B38"/>
  <c r="G35" i="1"/>
  <c r="I35"/>
  <c r="G39" i="12"/>
  <c r="B39"/>
  <c r="G36" i="1"/>
  <c r="I36"/>
  <c r="G40" i="12"/>
  <c r="B40"/>
  <c r="G37" i="1"/>
  <c r="I37"/>
  <c r="G41" i="12"/>
  <c r="B41"/>
  <c r="G38" i="1"/>
  <c r="I38"/>
  <c r="G42" i="12"/>
  <c r="B42"/>
  <c r="G39" i="1"/>
  <c r="I39"/>
  <c r="G43" i="12"/>
  <c r="B43"/>
  <c r="G40" i="1"/>
  <c r="I40"/>
  <c r="G44" i="12"/>
  <c r="B44"/>
  <c r="G41" i="1"/>
  <c r="I41"/>
  <c r="G45" i="12"/>
  <c r="B45"/>
  <c r="G42" i="1"/>
  <c r="I42"/>
  <c r="G46" i="12"/>
  <c r="B46"/>
  <c r="G43" i="1"/>
  <c r="I43"/>
  <c r="G47" i="12"/>
  <c r="B47"/>
  <c r="G44" i="1"/>
  <c r="I44"/>
  <c r="G48" i="12"/>
  <c r="B48"/>
  <c r="G45" i="1"/>
  <c r="I45"/>
  <c r="G49" i="12"/>
  <c r="B49"/>
  <c r="G46" i="1"/>
  <c r="I46"/>
  <c r="G50" i="12"/>
  <c r="B50"/>
  <c r="G47" i="1"/>
  <c r="I47"/>
  <c r="G51" i="12"/>
  <c r="B51"/>
  <c r="G48" i="1"/>
  <c r="I48"/>
  <c r="G52" i="12"/>
  <c r="B52"/>
  <c r="G49" i="1"/>
  <c r="I49"/>
  <c r="G53" i="12"/>
  <c r="B53"/>
  <c r="G50" i="1"/>
  <c r="I50"/>
  <c r="G54" i="12"/>
  <c r="B54"/>
  <c r="G51" i="1"/>
  <c r="I51"/>
  <c r="G55" i="12"/>
  <c r="B55"/>
  <c r="G52" i="1"/>
  <c r="I52"/>
  <c r="G56" i="12"/>
  <c r="B56"/>
  <c r="G53" i="1"/>
  <c r="I53"/>
  <c r="G57" i="12"/>
  <c r="B57"/>
  <c r="G54" i="1"/>
  <c r="I54"/>
  <c r="G58" i="12"/>
  <c r="B58"/>
  <c r="G55" i="1"/>
  <c r="I55"/>
  <c r="G59" i="12"/>
  <c r="B59"/>
  <c r="G56" i="1"/>
  <c r="I56"/>
  <c r="G60" i="12"/>
  <c r="B60"/>
  <c r="G57" i="1"/>
  <c r="I57"/>
  <c r="G61" i="12"/>
  <c r="B61"/>
  <c r="AO63"/>
  <c r="AO65"/>
  <c r="AO67"/>
  <c r="AO69"/>
  <c r="AP68"/>
  <c r="X4" i="30"/>
  <c r="Q4"/>
  <c r="J4"/>
  <c r="B4"/>
  <c r="B27" i="29"/>
  <c r="A75" i="1"/>
  <c r="B8" i="29"/>
  <c r="A76" i="1"/>
  <c r="B9" i="29"/>
  <c r="A77" i="1"/>
  <c r="B10" i="29"/>
  <c r="A78" i="1"/>
  <c r="B11" i="29"/>
  <c r="A79" i="1"/>
  <c r="B12" i="29"/>
  <c r="A80" i="1"/>
  <c r="B13" i="29"/>
  <c r="A81" i="1"/>
  <c r="B14" i="29"/>
  <c r="A82" i="1"/>
  <c r="B15" i="29"/>
  <c r="A83" i="1"/>
  <c r="B16" i="29"/>
  <c r="A84" i="1"/>
  <c r="B17" i="29"/>
  <c r="A85" i="1"/>
  <c r="B18" i="29"/>
  <c r="A86" i="1"/>
  <c r="B19" i="29"/>
  <c r="A87" i="1"/>
  <c r="B20" i="29"/>
  <c r="A88" i="1"/>
  <c r="B21" i="29"/>
  <c r="A89" i="1"/>
  <c r="B22" i="29"/>
  <c r="A90" i="1"/>
  <c r="B23" i="29"/>
  <c r="A91" i="1"/>
  <c r="B24" i="29"/>
  <c r="A92" i="1"/>
  <c r="B25" i="29"/>
  <c r="A93" i="1"/>
  <c r="B26" i="29"/>
  <c r="A74" i="1"/>
  <c r="B7" i="29"/>
  <c r="C22"/>
  <c r="D22"/>
  <c r="C23"/>
  <c r="D23"/>
  <c r="C24"/>
  <c r="D24"/>
  <c r="C25"/>
  <c r="D25"/>
  <c r="C26"/>
  <c r="D26"/>
  <c r="C18"/>
  <c r="D18"/>
  <c r="C19"/>
  <c r="D19"/>
  <c r="C20"/>
  <c r="D20"/>
  <c r="C21"/>
  <c r="D21"/>
  <c r="C8"/>
  <c r="D8"/>
  <c r="C9"/>
  <c r="D9"/>
  <c r="C10"/>
  <c r="D10"/>
  <c r="C11"/>
  <c r="D11"/>
  <c r="C12"/>
  <c r="D12"/>
  <c r="C13"/>
  <c r="D13"/>
  <c r="C14"/>
  <c r="D14"/>
  <c r="C15"/>
  <c r="D15"/>
  <c r="C16"/>
  <c r="D16"/>
  <c r="C17"/>
  <c r="D17"/>
  <c r="D7"/>
  <c r="C7"/>
  <c r="B42" i="3"/>
  <c r="B1" i="18"/>
  <c r="B53" i="3"/>
  <c r="B2" i="29"/>
  <c r="B54" i="3"/>
  <c r="C4" i="5"/>
  <c r="C5"/>
  <c r="C6"/>
  <c r="BJ5" i="29"/>
  <c r="C4" i="10"/>
  <c r="D12" i="5"/>
  <c r="C12"/>
  <c r="D26"/>
  <c r="D25"/>
  <c r="D24"/>
  <c r="D23"/>
  <c r="D22"/>
  <c r="D21"/>
  <c r="D20"/>
  <c r="D19"/>
  <c r="D18"/>
  <c r="D17"/>
  <c r="D16"/>
  <c r="D15"/>
  <c r="D14"/>
  <c r="D13"/>
  <c r="D11"/>
  <c r="C13"/>
  <c r="C14"/>
  <c r="C15"/>
  <c r="C16"/>
  <c r="C11"/>
  <c r="C23"/>
  <c r="C17"/>
  <c r="C5" i="10"/>
  <c r="C6"/>
  <c r="C9"/>
  <c r="C10"/>
  <c r="C11"/>
  <c r="C12"/>
  <c r="C13"/>
  <c r="C14"/>
  <c r="C15"/>
  <c r="E17" i="5"/>
  <c r="F17"/>
  <c r="C18"/>
  <c r="C19"/>
  <c r="C16" i="10"/>
  <c r="C17"/>
  <c r="E19" i="5"/>
  <c r="F19"/>
  <c r="C20"/>
  <c r="C21"/>
  <c r="C18" i="10"/>
  <c r="C19"/>
  <c r="E21" i="5"/>
  <c r="F21"/>
  <c r="C22"/>
  <c r="C24"/>
  <c r="C25"/>
  <c r="C26"/>
  <c r="D27"/>
  <c r="D28"/>
  <c r="E6"/>
  <c r="F6"/>
  <c r="C10"/>
  <c r="D44" i="18"/>
  <c r="E6" i="25"/>
  <c r="D45" i="18"/>
  <c r="E7" i="25"/>
  <c r="D46" i="18"/>
  <c r="E8" i="25"/>
  <c r="D47" i="18"/>
  <c r="E9" i="25"/>
  <c r="D48" i="18"/>
  <c r="E10" i="25"/>
  <c r="D49" i="18"/>
  <c r="E11" i="25"/>
  <c r="D50" i="18"/>
  <c r="E12" i="25"/>
  <c r="D51" i="18"/>
  <c r="E13" i="25"/>
  <c r="D52" i="18"/>
  <c r="E14" i="25"/>
  <c r="D53" i="18"/>
  <c r="E15" i="25"/>
  <c r="D54" i="18"/>
  <c r="E16" i="25"/>
  <c r="D55" i="18"/>
  <c r="E17" i="25"/>
  <c r="D56" i="18"/>
  <c r="E18" i="25"/>
  <c r="D57" i="18"/>
  <c r="E19" i="25"/>
  <c r="D58" i="18"/>
  <c r="E20" i="25"/>
  <c r="D42" i="18"/>
  <c r="E4" i="25"/>
  <c r="D43" i="18"/>
  <c r="E5" i="25"/>
  <c r="A42" i="18"/>
  <c r="B42"/>
  <c r="A43"/>
  <c r="B43"/>
  <c r="A55"/>
  <c r="B55"/>
  <c r="A56"/>
  <c r="B56"/>
  <c r="A57"/>
  <c r="B57"/>
  <c r="A58"/>
  <c r="B58"/>
  <c r="A45"/>
  <c r="A46"/>
  <c r="B46"/>
  <c r="A47"/>
  <c r="A48"/>
  <c r="B48"/>
  <c r="A49"/>
  <c r="B49"/>
  <c r="A50"/>
  <c r="B50"/>
  <c r="A51"/>
  <c r="B51"/>
  <c r="A52"/>
  <c r="B52"/>
  <c r="A53"/>
  <c r="B53"/>
  <c r="A54"/>
  <c r="B54"/>
  <c r="A44"/>
  <c r="B44"/>
  <c r="D28" i="24"/>
  <c r="C28"/>
  <c r="B28"/>
  <c r="A28"/>
  <c r="D27"/>
  <c r="C27"/>
  <c r="B27"/>
  <c r="A27"/>
  <c r="D26"/>
  <c r="C26"/>
  <c r="B26"/>
  <c r="A26"/>
  <c r="D25"/>
  <c r="C25"/>
  <c r="B25"/>
  <c r="A25"/>
  <c r="D24"/>
  <c r="C24"/>
  <c r="B24"/>
  <c r="A24"/>
  <c r="D23"/>
  <c r="C23"/>
  <c r="B23"/>
  <c r="A23"/>
  <c r="D22"/>
  <c r="C22"/>
  <c r="B22"/>
  <c r="A22"/>
  <c r="D21"/>
  <c r="C21"/>
  <c r="B21"/>
  <c r="A21"/>
  <c r="D20"/>
  <c r="C20"/>
  <c r="B20"/>
  <c r="A20"/>
  <c r="D19"/>
  <c r="C19"/>
  <c r="B19"/>
  <c r="A19"/>
  <c r="D18"/>
  <c r="C18"/>
  <c r="B18"/>
  <c r="A18"/>
  <c r="D17"/>
  <c r="C17"/>
  <c r="B17"/>
  <c r="A17"/>
  <c r="D16"/>
  <c r="C16"/>
  <c r="B16"/>
  <c r="A16"/>
  <c r="D15"/>
  <c r="C15"/>
  <c r="B15"/>
  <c r="A15"/>
  <c r="D14"/>
  <c r="C14"/>
  <c r="B14"/>
  <c r="A14"/>
  <c r="D13"/>
  <c r="C13"/>
  <c r="B13"/>
  <c r="A13"/>
  <c r="D12"/>
  <c r="C12"/>
  <c r="B12"/>
  <c r="A12"/>
  <c r="D11"/>
  <c r="C11"/>
  <c r="B11"/>
  <c r="A11"/>
  <c r="D10"/>
  <c r="C10"/>
  <c r="B10"/>
  <c r="A10"/>
  <c r="C6"/>
  <c r="E6"/>
  <c r="F6"/>
  <c r="C4"/>
  <c r="E4"/>
  <c r="F4"/>
  <c r="C5"/>
  <c r="E5"/>
  <c r="F5"/>
  <c r="C3"/>
  <c r="BK2"/>
  <c r="BJ2"/>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K2"/>
  <c r="J2"/>
  <c r="I2"/>
  <c r="D28" i="23"/>
  <c r="C28"/>
  <c r="B28"/>
  <c r="A28"/>
  <c r="D27"/>
  <c r="C27"/>
  <c r="B27"/>
  <c r="A27"/>
  <c r="D26"/>
  <c r="C26"/>
  <c r="B26"/>
  <c r="A26"/>
  <c r="D25"/>
  <c r="C25"/>
  <c r="B25"/>
  <c r="A25"/>
  <c r="D24"/>
  <c r="C24"/>
  <c r="B24"/>
  <c r="A24"/>
  <c r="D23"/>
  <c r="C23"/>
  <c r="E23"/>
  <c r="F23"/>
  <c r="B23"/>
  <c r="A23"/>
  <c r="D22"/>
  <c r="C22"/>
  <c r="B22"/>
  <c r="A22"/>
  <c r="D21"/>
  <c r="C21"/>
  <c r="B21"/>
  <c r="A21"/>
  <c r="D20"/>
  <c r="C20"/>
  <c r="B20"/>
  <c r="A20"/>
  <c r="D19"/>
  <c r="C19"/>
  <c r="B19"/>
  <c r="A19"/>
  <c r="D18"/>
  <c r="C18"/>
  <c r="B18"/>
  <c r="A18"/>
  <c r="D17"/>
  <c r="C17"/>
  <c r="B17"/>
  <c r="A17"/>
  <c r="D16"/>
  <c r="C16"/>
  <c r="B16"/>
  <c r="A16"/>
  <c r="D15"/>
  <c r="C15"/>
  <c r="B15"/>
  <c r="A15"/>
  <c r="D14"/>
  <c r="C14"/>
  <c r="B14"/>
  <c r="A14"/>
  <c r="D13"/>
  <c r="C13"/>
  <c r="B13"/>
  <c r="A13"/>
  <c r="D12"/>
  <c r="C12"/>
  <c r="B12"/>
  <c r="A12"/>
  <c r="D11"/>
  <c r="C11"/>
  <c r="B11"/>
  <c r="A11"/>
  <c r="D10"/>
  <c r="C10"/>
  <c r="B10"/>
  <c r="A10"/>
  <c r="C6"/>
  <c r="C5"/>
  <c r="C4"/>
  <c r="C3"/>
  <c r="BK2"/>
  <c r="BJ2"/>
  <c r="BI2"/>
  <c r="BH2"/>
  <c r="BG2"/>
  <c r="BF2"/>
  <c r="BE2"/>
  <c r="BD2"/>
  <c r="BC2"/>
  <c r="BB2"/>
  <c r="BA2"/>
  <c r="AZ2"/>
  <c r="AY2"/>
  <c r="AX2"/>
  <c r="AW2"/>
  <c r="AV2"/>
  <c r="AU2"/>
  <c r="AT2"/>
  <c r="AS2"/>
  <c r="AR2"/>
  <c r="AQ2"/>
  <c r="AP2"/>
  <c r="AO2"/>
  <c r="AN2"/>
  <c r="AM2"/>
  <c r="AL2"/>
  <c r="AK2"/>
  <c r="AJ2"/>
  <c r="AI2"/>
  <c r="AH2"/>
  <c r="AG2"/>
  <c r="AF2"/>
  <c r="AE2"/>
  <c r="AD2"/>
  <c r="AC2"/>
  <c r="AB2"/>
  <c r="AA2"/>
  <c r="Z2"/>
  <c r="Y2"/>
  <c r="X2"/>
  <c r="W2"/>
  <c r="V2"/>
  <c r="U2"/>
  <c r="T2"/>
  <c r="S2"/>
  <c r="R2"/>
  <c r="Q2"/>
  <c r="P2"/>
  <c r="O2"/>
  <c r="N2"/>
  <c r="M2"/>
  <c r="L2"/>
  <c r="K2"/>
  <c r="J2"/>
  <c r="I2"/>
  <c r="A14" i="18"/>
  <c r="C34" i="5"/>
  <c r="C35"/>
  <c r="C36"/>
  <c r="C37"/>
  <c r="C7" i="3"/>
  <c r="F2" i="26"/>
  <c r="F59" i="1"/>
  <c r="F60"/>
  <c r="F62"/>
  <c r="H68" i="12"/>
  <c r="F65" i="1"/>
  <c r="B48" i="3"/>
  <c r="C48"/>
  <c r="C4" i="18"/>
  <c r="B46" i="3"/>
  <c r="B3" i="18"/>
  <c r="B44" i="3"/>
  <c r="C44"/>
  <c r="C2" i="18"/>
  <c r="B67" i="12"/>
  <c r="C67"/>
  <c r="E67"/>
  <c r="B68"/>
  <c r="C68"/>
  <c r="E68"/>
  <c r="B69"/>
  <c r="C69"/>
  <c r="E69"/>
  <c r="B64" i="1"/>
  <c r="D68" i="12"/>
  <c r="E64" i="1"/>
  <c r="B65"/>
  <c r="D69" i="12"/>
  <c r="E65" i="1"/>
  <c r="B66"/>
  <c r="E66"/>
  <c r="B67"/>
  <c r="E67"/>
  <c r="E5" i="5"/>
  <c r="F5"/>
  <c r="E14" i="23"/>
  <c r="F14"/>
  <c r="E9" i="10"/>
  <c r="E10"/>
  <c r="E11"/>
  <c r="E12"/>
  <c r="E13"/>
  <c r="E14"/>
  <c r="E15"/>
  <c r="E16"/>
  <c r="E17"/>
  <c r="E18"/>
  <c r="E19"/>
  <c r="C20"/>
  <c r="E20"/>
  <c r="C21"/>
  <c r="E21"/>
  <c r="C22"/>
  <c r="E22"/>
  <c r="C23"/>
  <c r="E23"/>
  <c r="C24"/>
  <c r="E24"/>
  <c r="A6" i="18"/>
  <c r="A7"/>
  <c r="A8"/>
  <c r="A9"/>
  <c r="A13"/>
  <c r="E13"/>
  <c r="E14"/>
  <c r="A15"/>
  <c r="E15"/>
  <c r="B9" i="19"/>
  <c r="A16" i="18"/>
  <c r="E16"/>
  <c r="A17"/>
  <c r="E17"/>
  <c r="A18"/>
  <c r="E18"/>
  <c r="A19"/>
  <c r="E19"/>
  <c r="B15" i="19"/>
  <c r="A20" i="18"/>
  <c r="E20"/>
  <c r="A21"/>
  <c r="E21"/>
  <c r="A22"/>
  <c r="E22"/>
  <c r="A23"/>
  <c r="E23"/>
  <c r="B21" i="19"/>
  <c r="A24" i="18"/>
  <c r="E24"/>
  <c r="A25"/>
  <c r="E25"/>
  <c r="A26"/>
  <c r="E26"/>
  <c r="B25" i="19"/>
  <c r="A27" i="18"/>
  <c r="E27"/>
  <c r="B26" i="19"/>
  <c r="Q2" i="17"/>
  <c r="Q3"/>
  <c r="B5"/>
  <c r="B6"/>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4"/>
  <c r="C12" i="3"/>
  <c r="B20"/>
  <c r="D20"/>
  <c r="E20"/>
  <c r="B21"/>
  <c r="J4" i="14"/>
  <c r="B25" i="3"/>
  <c r="BY4" i="12"/>
  <c r="BY5"/>
  <c r="B32" i="3"/>
  <c r="E32"/>
  <c r="L32"/>
  <c r="I2" i="17"/>
  <c r="P32" i="3"/>
  <c r="M2" i="17"/>
  <c r="R32" i="3"/>
  <c r="O2" i="17"/>
  <c r="B35" i="3"/>
  <c r="D35"/>
  <c r="C7" i="12"/>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C29"/>
  <c r="D29"/>
  <c r="C30"/>
  <c r="D30"/>
  <c r="C31"/>
  <c r="D31"/>
  <c r="C32"/>
  <c r="D32"/>
  <c r="C33"/>
  <c r="D33"/>
  <c r="C34"/>
  <c r="D34"/>
  <c r="C35"/>
  <c r="D35"/>
  <c r="C36"/>
  <c r="D36"/>
  <c r="C37"/>
  <c r="D37"/>
  <c r="C38"/>
  <c r="D38"/>
  <c r="C39"/>
  <c r="D39"/>
  <c r="C40"/>
  <c r="D40"/>
  <c r="C41"/>
  <c r="D41"/>
  <c r="C42"/>
  <c r="D42"/>
  <c r="C43"/>
  <c r="D43"/>
  <c r="C44"/>
  <c r="D44"/>
  <c r="C45"/>
  <c r="D45"/>
  <c r="C46"/>
  <c r="D46"/>
  <c r="C47"/>
  <c r="D47"/>
  <c r="C48"/>
  <c r="D48"/>
  <c r="C49"/>
  <c r="D49"/>
  <c r="C50"/>
  <c r="D50"/>
  <c r="C51"/>
  <c r="D51"/>
  <c r="C52"/>
  <c r="D52"/>
  <c r="C53"/>
  <c r="D53"/>
  <c r="C54"/>
  <c r="D54"/>
  <c r="C55"/>
  <c r="D55"/>
  <c r="C56"/>
  <c r="D56"/>
  <c r="C57"/>
  <c r="D57"/>
  <c r="C58"/>
  <c r="D58"/>
  <c r="C59"/>
  <c r="D59"/>
  <c r="C60"/>
  <c r="D60"/>
  <c r="C61"/>
  <c r="D61"/>
  <c r="B62"/>
  <c r="C62"/>
  <c r="E62"/>
  <c r="B63"/>
  <c r="C63"/>
  <c r="E63"/>
  <c r="B64"/>
  <c r="C64"/>
  <c r="E64"/>
  <c r="B65"/>
  <c r="C65"/>
  <c r="E65"/>
  <c r="B66"/>
  <c r="C66"/>
  <c r="E66"/>
  <c r="L1" i="1"/>
  <c r="M1"/>
  <c r="N1"/>
  <c r="O1"/>
  <c r="P1"/>
  <c r="Q1"/>
  <c r="R1"/>
  <c r="S1"/>
  <c r="T1"/>
  <c r="U1"/>
  <c r="B58"/>
  <c r="D62" i="12"/>
  <c r="E58" i="1"/>
  <c r="B59"/>
  <c r="D63" i="12"/>
  <c r="E59" i="1"/>
  <c r="B60"/>
  <c r="D64" i="12"/>
  <c r="E60" i="1"/>
  <c r="B61"/>
  <c r="D65" i="12"/>
  <c r="E61" i="1"/>
  <c r="B62"/>
  <c r="D66" i="12"/>
  <c r="E62" i="1"/>
  <c r="B63"/>
  <c r="D67" i="12"/>
  <c r="E63" i="1"/>
  <c r="B7" i="19"/>
  <c r="B13"/>
  <c r="B17"/>
  <c r="B23"/>
  <c r="I2" i="5"/>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M2"/>
  <c r="BO2"/>
  <c r="BQ2"/>
  <c r="BR2"/>
  <c r="BS2"/>
  <c r="BT2"/>
  <c r="A10"/>
  <c r="B10"/>
  <c r="D10"/>
  <c r="A11"/>
  <c r="B11"/>
  <c r="A12"/>
  <c r="B12"/>
  <c r="BL12"/>
  <c r="BM12"/>
  <c r="BN12"/>
  <c r="BO12"/>
  <c r="BP12"/>
  <c r="BQ12"/>
  <c r="BR12"/>
  <c r="BS12"/>
  <c r="BT12"/>
  <c r="A13"/>
  <c r="B13"/>
  <c r="BL13"/>
  <c r="BM13"/>
  <c r="BN13"/>
  <c r="BO13"/>
  <c r="BP13"/>
  <c r="BQ13"/>
  <c r="BR13"/>
  <c r="BS13"/>
  <c r="BT13"/>
  <c r="A14"/>
  <c r="B14"/>
  <c r="BL14"/>
  <c r="BM14"/>
  <c r="BN14"/>
  <c r="BO14"/>
  <c r="BP14"/>
  <c r="BQ14"/>
  <c r="BR14"/>
  <c r="BS14"/>
  <c r="BT14"/>
  <c r="A15"/>
  <c r="B15"/>
  <c r="BL15"/>
  <c r="BM15"/>
  <c r="BN15"/>
  <c r="BO15"/>
  <c r="BP15"/>
  <c r="BQ15"/>
  <c r="BR15"/>
  <c r="BS15"/>
  <c r="BT15"/>
  <c r="A16"/>
  <c r="B16"/>
  <c r="A17"/>
  <c r="B17"/>
  <c r="BL17"/>
  <c r="BM17"/>
  <c r="BN17"/>
  <c r="BO17"/>
  <c r="BP17"/>
  <c r="BQ17"/>
  <c r="BR17"/>
  <c r="BS17"/>
  <c r="BT17"/>
  <c r="A18"/>
  <c r="A42"/>
  <c r="B18"/>
  <c r="BL18"/>
  <c r="BM18"/>
  <c r="BN18"/>
  <c r="BO18"/>
  <c r="BP18"/>
  <c r="BQ18"/>
  <c r="BR18"/>
  <c r="BS18"/>
  <c r="BT18"/>
  <c r="A19"/>
  <c r="B19"/>
  <c r="B43"/>
  <c r="BL19"/>
  <c r="BM19"/>
  <c r="BN19"/>
  <c r="BO19"/>
  <c r="BP19"/>
  <c r="BQ19"/>
  <c r="BR19"/>
  <c r="BS19"/>
  <c r="BT19"/>
  <c r="A20"/>
  <c r="A44"/>
  <c r="B20"/>
  <c r="BL20"/>
  <c r="BM20"/>
  <c r="BN20"/>
  <c r="BO20"/>
  <c r="BP20"/>
  <c r="BQ20"/>
  <c r="BR20"/>
  <c r="BS20"/>
  <c r="BT20"/>
  <c r="A21"/>
  <c r="B21"/>
  <c r="BL21"/>
  <c r="BM21"/>
  <c r="BN21"/>
  <c r="BO21"/>
  <c r="BP21"/>
  <c r="BQ21"/>
  <c r="BR21"/>
  <c r="BS21"/>
  <c r="BT21"/>
  <c r="A22"/>
  <c r="A46"/>
  <c r="B22"/>
  <c r="BL22"/>
  <c r="BM22"/>
  <c r="BN22"/>
  <c r="BO22"/>
  <c r="BP22"/>
  <c r="BQ22"/>
  <c r="BR22"/>
  <c r="BS22"/>
  <c r="BT22"/>
  <c r="A23"/>
  <c r="B23"/>
  <c r="B47"/>
  <c r="A24"/>
  <c r="B24"/>
  <c r="B48"/>
  <c r="BL24"/>
  <c r="BM24"/>
  <c r="BN24"/>
  <c r="BO24"/>
  <c r="BP24"/>
  <c r="BQ24"/>
  <c r="BR24"/>
  <c r="BS24"/>
  <c r="BT24"/>
  <c r="A25"/>
  <c r="A49"/>
  <c r="B25"/>
  <c r="BL25"/>
  <c r="BM25"/>
  <c r="BN25"/>
  <c r="BO25"/>
  <c r="BP25"/>
  <c r="BQ25"/>
  <c r="BR25"/>
  <c r="BS25"/>
  <c r="BT25"/>
  <c r="A26"/>
  <c r="B26"/>
  <c r="BL26"/>
  <c r="BM26"/>
  <c r="BN26"/>
  <c r="BO26"/>
  <c r="BP26"/>
  <c r="BQ26"/>
  <c r="BR26"/>
  <c r="BS26"/>
  <c r="BT26"/>
  <c r="A27"/>
  <c r="A51"/>
  <c r="B27"/>
  <c r="B51"/>
  <c r="C27"/>
  <c r="E27"/>
  <c r="C38"/>
  <c r="C39"/>
  <c r="C40"/>
  <c r="C41"/>
  <c r="C42"/>
  <c r="C18" i="18"/>
  <c r="K18"/>
  <c r="E14" i="19"/>
  <c r="C43" i="5"/>
  <c r="C44"/>
  <c r="C45"/>
  <c r="C46"/>
  <c r="C47"/>
  <c r="C48"/>
  <c r="C49"/>
  <c r="C50"/>
  <c r="C28"/>
  <c r="C52"/>
  <c r="A28"/>
  <c r="A52"/>
  <c r="B28"/>
  <c r="B52"/>
  <c r="A34"/>
  <c r="B34"/>
  <c r="A35"/>
  <c r="B35"/>
  <c r="A36"/>
  <c r="B36"/>
  <c r="A37"/>
  <c r="B37"/>
  <c r="A38"/>
  <c r="B38"/>
  <c r="A39"/>
  <c r="B39"/>
  <c r="A40"/>
  <c r="B40"/>
  <c r="A41"/>
  <c r="B41"/>
  <c r="B42"/>
  <c r="A43"/>
  <c r="B44"/>
  <c r="A45"/>
  <c r="B45"/>
  <c r="B46"/>
  <c r="A47"/>
  <c r="A48"/>
  <c r="B49"/>
  <c r="A50"/>
  <c r="B50"/>
  <c r="J51"/>
  <c r="L52"/>
  <c r="N52"/>
  <c r="P52"/>
  <c r="R51"/>
  <c r="T51"/>
  <c r="V52"/>
  <c r="X52"/>
  <c r="Z51"/>
  <c r="AB52"/>
  <c r="AD51"/>
  <c r="AF52"/>
  <c r="AH51"/>
  <c r="AJ51"/>
  <c r="AL51"/>
  <c r="AN52"/>
  <c r="AP51"/>
  <c r="AR52"/>
  <c r="AT51"/>
  <c r="AV52"/>
  <c r="AW51"/>
  <c r="AX51"/>
  <c r="BA51"/>
  <c r="BB51"/>
  <c r="BC52"/>
  <c r="BD52"/>
  <c r="BF52"/>
  <c r="BH52"/>
  <c r="BJ52"/>
  <c r="B2" i="8"/>
  <c r="C2"/>
  <c r="E3" i="30"/>
  <c r="B3" i="8"/>
  <c r="C3"/>
  <c r="B4"/>
  <c r="C4"/>
  <c r="S3" i="30"/>
  <c r="B5" i="8"/>
  <c r="C5"/>
  <c r="Z3" i="30"/>
  <c r="B9" i="8"/>
  <c r="B17" i="3"/>
  <c r="B19" i="8"/>
  <c r="B21"/>
  <c r="B10"/>
  <c r="C10"/>
  <c r="B11"/>
  <c r="C11"/>
  <c r="B12"/>
  <c r="C12"/>
  <c r="B13"/>
  <c r="B14"/>
  <c r="C14"/>
  <c r="B15"/>
  <c r="C15"/>
  <c r="B16"/>
  <c r="B17"/>
  <c r="C17"/>
  <c r="B18"/>
  <c r="C18"/>
  <c r="B20"/>
  <c r="C20"/>
  <c r="C21"/>
  <c r="B22"/>
  <c r="C22"/>
  <c r="B23"/>
  <c r="C23"/>
  <c r="D61" i="9"/>
  <c r="E3" i="15"/>
  <c r="H3"/>
  <c r="J3"/>
  <c r="M3"/>
  <c r="O3"/>
  <c r="R3"/>
  <c r="T3"/>
  <c r="W3"/>
  <c r="E3" i="16"/>
  <c r="H3"/>
  <c r="E2" i="4"/>
  <c r="J2"/>
  <c r="M32" i="3"/>
  <c r="J2" i="17"/>
  <c r="K2" i="4"/>
  <c r="H10" i="23"/>
  <c r="E3" i="4"/>
  <c r="J3"/>
  <c r="K3"/>
  <c r="E4"/>
  <c r="J4"/>
  <c r="K4"/>
  <c r="E5"/>
  <c r="J5"/>
  <c r="K5"/>
  <c r="H13" i="24"/>
  <c r="H13" i="5"/>
  <c r="H37"/>
  <c r="E6" i="4"/>
  <c r="J6"/>
  <c r="K6"/>
  <c r="H14" i="23"/>
  <c r="E7" i="4"/>
  <c r="J7"/>
  <c r="K7"/>
  <c r="H15" i="5"/>
  <c r="H39"/>
  <c r="E8" i="4"/>
  <c r="J8"/>
  <c r="K8"/>
  <c r="E9"/>
  <c r="J9"/>
  <c r="K9"/>
  <c r="H17" i="24"/>
  <c r="E10" i="4"/>
  <c r="J10"/>
  <c r="K10"/>
  <c r="H18" i="23"/>
  <c r="E11" i="4"/>
  <c r="J11"/>
  <c r="K11"/>
  <c r="H19" i="5"/>
  <c r="H43"/>
  <c r="E12" i="4"/>
  <c r="J12"/>
  <c r="K12"/>
  <c r="E13"/>
  <c r="J13"/>
  <c r="K13"/>
  <c r="H21" i="24"/>
  <c r="E14" i="4"/>
  <c r="J14"/>
  <c r="K14"/>
  <c r="H22" i="23"/>
  <c r="E15" i="4"/>
  <c r="J15"/>
  <c r="K15"/>
  <c r="H23" i="5"/>
  <c r="H47"/>
  <c r="E16" i="4"/>
  <c r="J16"/>
  <c r="K16"/>
  <c r="E17"/>
  <c r="J17"/>
  <c r="K17"/>
  <c r="H25" i="24"/>
  <c r="E18" i="4"/>
  <c r="H20" i="3"/>
  <c r="J18" i="4"/>
  <c r="M20" i="3"/>
  <c r="K18" i="4"/>
  <c r="K19"/>
  <c r="H27" i="5"/>
  <c r="H51"/>
  <c r="K20" i="4"/>
  <c r="BB52" i="5"/>
  <c r="AL52"/>
  <c r="AD52"/>
  <c r="R52"/>
  <c r="J52"/>
  <c r="N32" i="3"/>
  <c r="K2" i="17"/>
  <c r="H10" i="5"/>
  <c r="H34"/>
  <c r="H32" i="3"/>
  <c r="E2" i="17"/>
  <c r="M35" i="3"/>
  <c r="J3" i="17"/>
  <c r="C22" i="18"/>
  <c r="D10" i="10"/>
  <c r="D11"/>
  <c r="D12"/>
  <c r="D13"/>
  <c r="D14"/>
  <c r="D22"/>
  <c r="D23"/>
  <c r="D24"/>
  <c r="AY52" i="5"/>
  <c r="BF51"/>
  <c r="AZ51"/>
  <c r="AV51"/>
  <c r="AN51"/>
  <c r="AF51"/>
  <c r="P51"/>
  <c r="B6" i="18"/>
  <c r="B8"/>
  <c r="B13"/>
  <c r="B2"/>
  <c r="B14"/>
  <c r="B15"/>
  <c r="B16"/>
  <c r="B17"/>
  <c r="B18"/>
  <c r="B19"/>
  <c r="B20"/>
  <c r="B21"/>
  <c r="B22"/>
  <c r="B24"/>
  <c r="BG5" i="12"/>
  <c r="AF5"/>
  <c r="AX5"/>
  <c r="BP5"/>
  <c r="AY51" i="5"/>
  <c r="R35" i="3"/>
  <c r="O3" i="17"/>
  <c r="P35" i="3"/>
  <c r="M3" i="17"/>
  <c r="L35" i="3"/>
  <c r="I3" i="17"/>
  <c r="J35" i="3"/>
  <c r="G3" i="17"/>
  <c r="H35" i="3"/>
  <c r="E3" i="17"/>
  <c r="F35" i="3"/>
  <c r="C3" i="17"/>
  <c r="B3"/>
  <c r="B16"/>
  <c r="H6" i="1"/>
  <c r="F13" i="17"/>
  <c r="F16"/>
  <c r="F19"/>
  <c r="D6" i="10"/>
  <c r="D4"/>
  <c r="D21"/>
  <c r="D20"/>
  <c r="D19"/>
  <c r="E18" i="5"/>
  <c r="F18"/>
  <c r="E20"/>
  <c r="F20"/>
  <c r="E22"/>
  <c r="F22"/>
  <c r="G22"/>
  <c r="H20" i="10"/>
  <c r="D18"/>
  <c r="D17"/>
  <c r="D16"/>
  <c r="D15"/>
  <c r="D9"/>
  <c r="D5"/>
  <c r="E5" i="21"/>
  <c r="G67" i="1"/>
  <c r="G66"/>
  <c r="F67"/>
  <c r="F66"/>
  <c r="AZ52" i="5"/>
  <c r="G32" i="3"/>
  <c r="D2" i="17"/>
  <c r="F32" i="3"/>
  <c r="C2" i="17"/>
  <c r="B2"/>
  <c r="B15"/>
  <c r="C11" i="3"/>
  <c r="C4" i="17"/>
  <c r="C41"/>
  <c r="H37" i="1"/>
  <c r="AK13" i="17"/>
  <c r="AK16"/>
  <c r="H5" i="1"/>
  <c r="E13" i="17"/>
  <c r="E16"/>
  <c r="C43"/>
  <c r="F58" i="1"/>
  <c r="C13" i="8"/>
  <c r="S35" i="3"/>
  <c r="P3" i="17"/>
  <c r="Q35" i="3"/>
  <c r="N3" i="17"/>
  <c r="O35" i="3"/>
  <c r="L3" i="17"/>
  <c r="K35" i="3"/>
  <c r="H3" i="17"/>
  <c r="I35" i="3"/>
  <c r="F3" i="17"/>
  <c r="G35" i="3"/>
  <c r="D3" i="17"/>
  <c r="I67" i="1"/>
  <c r="I66"/>
  <c r="C42" i="3"/>
  <c r="C1" i="18"/>
  <c r="E1" i="21"/>
  <c r="E10"/>
  <c r="E19"/>
  <c r="E14"/>
  <c r="E17"/>
  <c r="E12"/>
  <c r="E7"/>
  <c r="K10" i="18"/>
  <c r="E24" i="21"/>
  <c r="B25" i="18"/>
  <c r="G25"/>
  <c r="G35" i="22"/>
  <c r="B23" i="18"/>
  <c r="B22" i="19"/>
  <c r="B18"/>
  <c r="B16"/>
  <c r="B14"/>
  <c r="B10"/>
  <c r="B8"/>
  <c r="E18" i="21"/>
  <c r="E15"/>
  <c r="E13"/>
  <c r="E11"/>
  <c r="E8"/>
  <c r="E6"/>
  <c r="BA52" i="5"/>
  <c r="AH52"/>
  <c r="AX52"/>
  <c r="I32" i="3"/>
  <c r="F2" i="17"/>
  <c r="F20" i="3"/>
  <c r="B2" i="12"/>
  <c r="C2"/>
  <c r="B4" i="18"/>
  <c r="C23"/>
  <c r="C14" i="17"/>
  <c r="E12" i="5"/>
  <c r="F12"/>
  <c r="E13"/>
  <c r="F13"/>
  <c r="E14"/>
  <c r="F14"/>
  <c r="E15"/>
  <c r="F15"/>
  <c r="G14"/>
  <c r="H12" i="10"/>
  <c r="E16" i="5"/>
  <c r="F16"/>
  <c r="E11"/>
  <c r="F11"/>
  <c r="E23"/>
  <c r="F23"/>
  <c r="G23"/>
  <c r="H6" i="10"/>
  <c r="E24" i="5"/>
  <c r="F24"/>
  <c r="E25"/>
  <c r="F25"/>
  <c r="E26"/>
  <c r="F26"/>
  <c r="G25"/>
  <c r="H23" i="10"/>
  <c r="G16" i="18"/>
  <c r="G24" i="22"/>
  <c r="C21" i="18"/>
  <c r="B9"/>
  <c r="C25"/>
  <c r="C17"/>
  <c r="C46" i="3"/>
  <c r="C3" i="18"/>
  <c r="D32" i="3"/>
  <c r="J32"/>
  <c r="G2" i="17"/>
  <c r="C9" i="8"/>
  <c r="C15" i="18"/>
  <c r="I17"/>
  <c r="I26" i="22"/>
  <c r="I14" i="18"/>
  <c r="I22" i="22"/>
  <c r="I23" i="18"/>
  <c r="I33" i="22"/>
  <c r="I24" i="18"/>
  <c r="I34" i="22"/>
  <c r="E34"/>
  <c r="E24"/>
  <c r="I21" i="18"/>
  <c r="I30" i="22"/>
  <c r="I13" i="18"/>
  <c r="I21" i="22"/>
  <c r="I18" i="18"/>
  <c r="I27" i="22"/>
  <c r="C34" i="18"/>
  <c r="I19"/>
  <c r="I28" i="22"/>
  <c r="E29"/>
  <c r="E31"/>
  <c r="E27"/>
  <c r="E22"/>
  <c r="E35"/>
  <c r="E33"/>
  <c r="E30"/>
  <c r="E28"/>
  <c r="E26"/>
  <c r="E23"/>
  <c r="E21"/>
  <c r="BD51" i="5"/>
  <c r="AJ52"/>
  <c r="X51"/>
  <c r="AR51"/>
  <c r="BK52"/>
  <c r="BK51"/>
  <c r="BI51"/>
  <c r="BI52"/>
  <c r="AM52"/>
  <c r="AM51"/>
  <c r="AK51"/>
  <c r="AK52"/>
  <c r="AI52"/>
  <c r="AI51"/>
  <c r="AG51"/>
  <c r="AG52"/>
  <c r="BH51"/>
  <c r="T52"/>
  <c r="BC51"/>
  <c r="L51"/>
  <c r="AB51"/>
  <c r="BJ51"/>
  <c r="AT52"/>
  <c r="BG52"/>
  <c r="BG51"/>
  <c r="BE51"/>
  <c r="BE52"/>
  <c r="AU51"/>
  <c r="AU52"/>
  <c r="AS52"/>
  <c r="AS51"/>
  <c r="AQ51"/>
  <c r="AQ52"/>
  <c r="AO52"/>
  <c r="AO51"/>
  <c r="AE51"/>
  <c r="AE52"/>
  <c r="AC52"/>
  <c r="AC51"/>
  <c r="AA51"/>
  <c r="AA52"/>
  <c r="Y52"/>
  <c r="Y51"/>
  <c r="W51"/>
  <c r="W52"/>
  <c r="U52"/>
  <c r="U51"/>
  <c r="S51"/>
  <c r="S52"/>
  <c r="Q52"/>
  <c r="Q51"/>
  <c r="O51"/>
  <c r="O52"/>
  <c r="M52"/>
  <c r="M51"/>
  <c r="K51"/>
  <c r="K52"/>
  <c r="I52"/>
  <c r="I51"/>
  <c r="E4" i="23"/>
  <c r="F4"/>
  <c r="AP52" i="5"/>
  <c r="Z52"/>
  <c r="AW52"/>
  <c r="N51"/>
  <c r="V51"/>
  <c r="E6" i="23"/>
  <c r="F6"/>
  <c r="E13"/>
  <c r="F13"/>
  <c r="E15"/>
  <c r="F15"/>
  <c r="E18"/>
  <c r="F18"/>
  <c r="E20"/>
  <c r="F20"/>
  <c r="E22"/>
  <c r="F22"/>
  <c r="E25"/>
  <c r="F25"/>
  <c r="E27"/>
  <c r="E28"/>
  <c r="B7" i="18"/>
  <c r="E5" i="23"/>
  <c r="F5"/>
  <c r="E12"/>
  <c r="F12"/>
  <c r="E16"/>
  <c r="F16"/>
  <c r="E11"/>
  <c r="F11"/>
  <c r="G16"/>
  <c r="E24"/>
  <c r="F24"/>
  <c r="E26"/>
  <c r="F26"/>
  <c r="G26"/>
  <c r="E11" i="24"/>
  <c r="F11"/>
  <c r="E13"/>
  <c r="F13"/>
  <c r="E15"/>
  <c r="F15"/>
  <c r="E17"/>
  <c r="F17"/>
  <c r="E19"/>
  <c r="F19"/>
  <c r="E18"/>
  <c r="F18"/>
  <c r="E20"/>
  <c r="F20"/>
  <c r="E21"/>
  <c r="F21"/>
  <c r="E22"/>
  <c r="F22"/>
  <c r="G21"/>
  <c r="E23"/>
  <c r="F23"/>
  <c r="E16"/>
  <c r="F16"/>
  <c r="G23"/>
  <c r="H13" i="23"/>
  <c r="H17"/>
  <c r="H21"/>
  <c r="H25"/>
  <c r="H10" i="24"/>
  <c r="H14"/>
  <c r="H18"/>
  <c r="H22"/>
  <c r="H26"/>
  <c r="H28" i="5"/>
  <c r="H52"/>
  <c r="H26"/>
  <c r="H50"/>
  <c r="H24"/>
  <c r="H48"/>
  <c r="H22"/>
  <c r="H46"/>
  <c r="H20"/>
  <c r="H44"/>
  <c r="H18"/>
  <c r="H42"/>
  <c r="H16"/>
  <c r="H40"/>
  <c r="H14"/>
  <c r="H38"/>
  <c r="H12"/>
  <c r="H36"/>
  <c r="E28"/>
  <c r="B1" i="12"/>
  <c r="R20" i="3"/>
  <c r="P20"/>
  <c r="L20"/>
  <c r="J20"/>
  <c r="F2" i="14"/>
  <c r="G20" i="3"/>
  <c r="E25" i="24"/>
  <c r="F25"/>
  <c r="E12"/>
  <c r="F12"/>
  <c r="E14"/>
  <c r="F14"/>
  <c r="G12"/>
  <c r="G16"/>
  <c r="E24"/>
  <c r="F24"/>
  <c r="E26"/>
  <c r="F26"/>
  <c r="G24"/>
  <c r="E27"/>
  <c r="E28"/>
  <c r="M2" i="26"/>
  <c r="I25" i="18"/>
  <c r="I35" i="22"/>
  <c r="I22" i="18"/>
  <c r="I31" i="22"/>
  <c r="I15" i="18"/>
  <c r="I23" i="22"/>
  <c r="I16" i="18"/>
  <c r="I24" i="22"/>
  <c r="G11" i="23"/>
  <c r="E17"/>
  <c r="F17"/>
  <c r="E19"/>
  <c r="F19"/>
  <c r="E21"/>
  <c r="F21"/>
  <c r="G19"/>
  <c r="C51" i="5"/>
  <c r="C26" i="18"/>
  <c r="K26"/>
  <c r="E25" i="19"/>
  <c r="B27" i="18"/>
  <c r="C13"/>
  <c r="C16"/>
  <c r="C20"/>
  <c r="C24"/>
  <c r="C19"/>
  <c r="G19"/>
  <c r="G28" i="22"/>
  <c r="G17" i="18"/>
  <c r="G26" i="22"/>
  <c r="G21" i="18"/>
  <c r="G30" i="22"/>
  <c r="G18" i="18"/>
  <c r="G27" i="22"/>
  <c r="G22" i="18"/>
  <c r="G31" i="22"/>
  <c r="G15" i="18"/>
  <c r="G23" i="22"/>
  <c r="G20" i="18"/>
  <c r="G29" i="22"/>
  <c r="G24" i="18"/>
  <c r="G34" i="22"/>
  <c r="G23" i="18"/>
  <c r="G33" i="22"/>
  <c r="B26" i="18"/>
  <c r="I26"/>
  <c r="I37" i="22"/>
  <c r="S20" i="3"/>
  <c r="O20"/>
  <c r="I20"/>
  <c r="F1" i="14"/>
  <c r="C14" i="18"/>
  <c r="E4" i="5"/>
  <c r="F4"/>
  <c r="E38" i="22"/>
  <c r="E37"/>
  <c r="E22" i="21"/>
  <c r="E21"/>
  <c r="B21" i="7"/>
  <c r="E35" i="3"/>
  <c r="S32"/>
  <c r="P2" i="17"/>
  <c r="Q32" i="3"/>
  <c r="N2" i="17"/>
  <c r="O32" i="3"/>
  <c r="L2" i="17"/>
  <c r="K32" i="3"/>
  <c r="H2" i="17"/>
  <c r="C19" i="8"/>
  <c r="C9" i="3"/>
  <c r="J2" i="26"/>
  <c r="H69" i="12"/>
  <c r="F64" i="1"/>
  <c r="F63"/>
  <c r="F61"/>
  <c r="H64" i="12"/>
  <c r="H63"/>
  <c r="B47" i="18"/>
  <c r="B45"/>
  <c r="G27"/>
  <c r="G38" i="22"/>
  <c r="G26" i="18"/>
  <c r="G37" i="22"/>
  <c r="G13" i="18"/>
  <c r="G21" i="22"/>
  <c r="G14" i="18"/>
  <c r="G22" i="22"/>
  <c r="C32" i="18"/>
  <c r="H28" i="23"/>
  <c r="N35" i="3"/>
  <c r="K3" i="17"/>
  <c r="H28" i="24"/>
  <c r="H27"/>
  <c r="H27" i="23"/>
  <c r="H24"/>
  <c r="H24" i="24"/>
  <c r="H23"/>
  <c r="H23" i="23"/>
  <c r="H20"/>
  <c r="H20" i="24"/>
  <c r="H19"/>
  <c r="H19" i="23"/>
  <c r="H16"/>
  <c r="H16" i="24"/>
  <c r="H15"/>
  <c r="H15" i="23"/>
  <c r="H12"/>
  <c r="H12" i="24"/>
  <c r="H11"/>
  <c r="H11" i="23"/>
  <c r="H25" i="5"/>
  <c r="H49"/>
  <c r="H21"/>
  <c r="H45"/>
  <c r="H17"/>
  <c r="H41"/>
  <c r="H26" i="23"/>
  <c r="N20" i="3"/>
  <c r="H11" i="5"/>
  <c r="H35"/>
  <c r="C16" i="8"/>
  <c r="K20" i="3"/>
  <c r="H65" i="12"/>
  <c r="H67"/>
  <c r="I20" i="18"/>
  <c r="I29" i="22"/>
  <c r="I27" i="18"/>
  <c r="I38" i="22"/>
  <c r="D9" i="18"/>
  <c r="W30"/>
  <c r="E6" i="10"/>
  <c r="H6" i="23"/>
  <c r="H6" i="24"/>
  <c r="U2" i="15"/>
  <c r="H6" i="5"/>
  <c r="L2" i="15"/>
  <c r="H4" i="24"/>
  <c r="D7" i="18"/>
  <c r="K30"/>
  <c r="H4" i="5"/>
  <c r="H4" i="23"/>
  <c r="H66" i="12"/>
  <c r="G17" i="3"/>
  <c r="E17"/>
  <c r="N17"/>
  <c r="L17"/>
  <c r="E3" i="9"/>
  <c r="J17" i="3"/>
  <c r="H5" i="24"/>
  <c r="H5" i="23"/>
  <c r="D8" i="18"/>
  <c r="Q30"/>
  <c r="Q2" i="15"/>
  <c r="E5" i="10"/>
  <c r="H5" i="5"/>
  <c r="B26" i="3"/>
  <c r="F1" i="16"/>
  <c r="G2" i="15"/>
  <c r="H3" i="24"/>
  <c r="H3" i="23"/>
  <c r="H3" i="5"/>
  <c r="D6" i="18"/>
  <c r="D30"/>
  <c r="H62" i="12"/>
  <c r="G5" i="24"/>
  <c r="Q20" i="3"/>
  <c r="K67" i="12"/>
  <c r="K65"/>
  <c r="K64"/>
  <c r="K68"/>
  <c r="K69"/>
  <c r="K63"/>
  <c r="K62"/>
  <c r="K66"/>
  <c r="BP63"/>
  <c r="BP62"/>
  <c r="BP65"/>
  <c r="BP64"/>
  <c r="BP66"/>
  <c r="BP67"/>
  <c r="BP69"/>
  <c r="BP68"/>
  <c r="G12" i="5"/>
  <c r="G13"/>
  <c r="G15"/>
  <c r="G16"/>
  <c r="G17"/>
  <c r="G18"/>
  <c r="G19"/>
  <c r="G20"/>
  <c r="G21"/>
  <c r="G24"/>
  <c r="G26"/>
  <c r="I6"/>
  <c r="BP7" i="12"/>
  <c r="J6" i="5"/>
  <c r="BP8" i="12"/>
  <c r="K6" i="5"/>
  <c r="BP9" i="12"/>
  <c r="L6" i="5"/>
  <c r="BP10" i="12"/>
  <c r="M6" i="5"/>
  <c r="BP11" i="12"/>
  <c r="N6" i="5"/>
  <c r="BP12" i="12"/>
  <c r="O6" i="5"/>
  <c r="BP13" i="12"/>
  <c r="P6" i="5"/>
  <c r="BP14" i="12"/>
  <c r="Q6" i="5"/>
  <c r="BP15" i="12"/>
  <c r="R6" i="5"/>
  <c r="BP16" i="12"/>
  <c r="S6" i="5"/>
  <c r="BP17" i="12"/>
  <c r="T6" i="5"/>
  <c r="BP18" i="12"/>
  <c r="U6" i="5"/>
  <c r="BP19" i="12"/>
  <c r="V6" i="5"/>
  <c r="BP20" i="12"/>
  <c r="W6" i="5"/>
  <c r="BP21" i="12"/>
  <c r="X6" i="5"/>
  <c r="BP22" i="12"/>
  <c r="Y6" i="5"/>
  <c r="BP23" i="12"/>
  <c r="Z6" i="5"/>
  <c r="BP24" i="12"/>
  <c r="AA6" i="5"/>
  <c r="BP25" i="12"/>
  <c r="AB6" i="5"/>
  <c r="BP26" i="12"/>
  <c r="AC6" i="5"/>
  <c r="BP27" i="12"/>
  <c r="AD6" i="5"/>
  <c r="BP28" i="12"/>
  <c r="AE6" i="5"/>
  <c r="BP29" i="12"/>
  <c r="AF6" i="5"/>
  <c r="BP30" i="12"/>
  <c r="AG6" i="5"/>
  <c r="BP31" i="12"/>
  <c r="AH6" i="5"/>
  <c r="BP32" i="12"/>
  <c r="AI6" i="5"/>
  <c r="BP33" i="12"/>
  <c r="AJ6" i="5"/>
  <c r="BP34" i="12"/>
  <c r="AK6" i="5"/>
  <c r="BP35" i="12"/>
  <c r="AL6" i="5"/>
  <c r="BP36" i="12"/>
  <c r="AM6" i="5"/>
  <c r="BP37" i="12"/>
  <c r="AN6" i="5"/>
  <c r="BP38" i="12"/>
  <c r="AO6" i="5"/>
  <c r="BP39" i="12"/>
  <c r="AP6" i="5"/>
  <c r="BP40" i="12"/>
  <c r="AQ6" i="5"/>
  <c r="BP41" i="12"/>
  <c r="AR6" i="5"/>
  <c r="BP42" i="12"/>
  <c r="AS6" i="5"/>
  <c r="BP43" i="12"/>
  <c r="AT6" i="5"/>
  <c r="BP44" i="12"/>
  <c r="AU6" i="5"/>
  <c r="BP45" i="12"/>
  <c r="AV6" i="5"/>
  <c r="BP46" i="12"/>
  <c r="AW6" i="5"/>
  <c r="BP47" i="12"/>
  <c r="AX6" i="5"/>
  <c r="BP48" i="12"/>
  <c r="AY6" i="5"/>
  <c r="BP49" i="12"/>
  <c r="AZ6" i="5"/>
  <c r="BP50" i="12"/>
  <c r="BA6" i="5"/>
  <c r="BP51" i="12"/>
  <c r="BB6" i="5"/>
  <c r="BP52" i="12"/>
  <c r="BC6" i="5"/>
  <c r="BP53" i="12"/>
  <c r="BD6" i="5"/>
  <c r="BP54" i="12"/>
  <c r="BE6" i="5"/>
  <c r="BP55" i="12"/>
  <c r="BF6" i="5"/>
  <c r="BP56" i="12"/>
  <c r="BG6" i="5"/>
  <c r="BP57" i="12"/>
  <c r="BH6" i="5"/>
  <c r="BP58" i="12"/>
  <c r="BI6" i="5"/>
  <c r="BP59" i="12"/>
  <c r="BJ6" i="5"/>
  <c r="BP60" i="12"/>
  <c r="BK6" i="5"/>
  <c r="BP61" i="12"/>
  <c r="BQ69"/>
  <c r="AX68"/>
  <c r="AX62"/>
  <c r="AX66"/>
  <c r="AX64"/>
  <c r="AX67"/>
  <c r="AX63"/>
  <c r="AX69"/>
  <c r="AX65"/>
  <c r="I4" i="5"/>
  <c r="AX7" i="12"/>
  <c r="J4" i="5"/>
  <c r="AX8" i="12"/>
  <c r="K4" i="5"/>
  <c r="AX9" i="12"/>
  <c r="L4" i="5"/>
  <c r="AX10" i="12"/>
  <c r="M4" i="5"/>
  <c r="AX11" i="12"/>
  <c r="N4" i="5"/>
  <c r="AX12" i="12"/>
  <c r="O4" i="5"/>
  <c r="AX13" i="12"/>
  <c r="P4" i="5"/>
  <c r="AX14" i="12"/>
  <c r="Q4" i="5"/>
  <c r="AX15" i="12"/>
  <c r="R4" i="5"/>
  <c r="AX16" i="12"/>
  <c r="S4" i="5"/>
  <c r="AX17" i="12"/>
  <c r="T4" i="5"/>
  <c r="AX18" i="12"/>
  <c r="U4" i="5"/>
  <c r="AX19" i="12"/>
  <c r="V4" i="5"/>
  <c r="AX20" i="12"/>
  <c r="W4" i="5"/>
  <c r="AX21" i="12"/>
  <c r="X4" i="5"/>
  <c r="AX22" i="12"/>
  <c r="Y4" i="5"/>
  <c r="AX23" i="12"/>
  <c r="Z4" i="5"/>
  <c r="AX24" i="12"/>
  <c r="AA4" i="5"/>
  <c r="AX25" i="12"/>
  <c r="AB4" i="5"/>
  <c r="AX26" i="12"/>
  <c r="AC4" i="5"/>
  <c r="AX27" i="12"/>
  <c r="AD4" i="5"/>
  <c r="AX28" i="12"/>
  <c r="AE4" i="5"/>
  <c r="AX29" i="12"/>
  <c r="AF4" i="5"/>
  <c r="AX30" i="12"/>
  <c r="AG4" i="5"/>
  <c r="AX31" i="12"/>
  <c r="AH4" i="5"/>
  <c r="AX32" i="12"/>
  <c r="AI4" i="5"/>
  <c r="AX33" i="12"/>
  <c r="AJ4" i="5"/>
  <c r="AX34" i="12"/>
  <c r="AK4" i="5"/>
  <c r="AX35" i="12"/>
  <c r="AL4" i="5"/>
  <c r="AX36" i="12"/>
  <c r="AM4" i="5"/>
  <c r="AX37" i="12"/>
  <c r="AN4" i="5"/>
  <c r="AX38" i="12"/>
  <c r="AO4" i="5"/>
  <c r="AX39" i="12"/>
  <c r="AP4" i="5"/>
  <c r="AX40" i="12"/>
  <c r="AQ4" i="5"/>
  <c r="AX41" i="12"/>
  <c r="AR4" i="5"/>
  <c r="AX42" i="12"/>
  <c r="AS4" i="5"/>
  <c r="AX43" i="12"/>
  <c r="AT4" i="5"/>
  <c r="AX44" i="12"/>
  <c r="AU4" i="5"/>
  <c r="AX45" i="12"/>
  <c r="AV4" i="5"/>
  <c r="AX46" i="12"/>
  <c r="AW4" i="5"/>
  <c r="AX47" i="12"/>
  <c r="AX4" i="5"/>
  <c r="AX48" i="12"/>
  <c r="AY4" i="5"/>
  <c r="AX49" i="12"/>
  <c r="AZ4" i="5"/>
  <c r="AX50" i="12"/>
  <c r="BA4" i="5"/>
  <c r="AX51" i="12"/>
  <c r="BB4" i="5"/>
  <c r="AX52" i="12"/>
  <c r="BC4" i="5"/>
  <c r="AX53" i="12"/>
  <c r="BD4" i="5"/>
  <c r="AX54" i="12"/>
  <c r="BE4" i="5"/>
  <c r="AX55" i="12"/>
  <c r="BF4" i="5"/>
  <c r="AX56" i="12"/>
  <c r="BG4" i="5"/>
  <c r="AX57" i="12"/>
  <c r="BH4" i="5"/>
  <c r="AX58" i="12"/>
  <c r="BI4" i="5"/>
  <c r="AX59" i="12"/>
  <c r="BJ4" i="5"/>
  <c r="AX60" i="12"/>
  <c r="BK4" i="5"/>
  <c r="AX61" i="12"/>
  <c r="AY69"/>
  <c r="BG69"/>
  <c r="BG63"/>
  <c r="BG67"/>
  <c r="BG62"/>
  <c r="BG64"/>
  <c r="BG66"/>
  <c r="BG65"/>
  <c r="BG68"/>
  <c r="I5" i="5"/>
  <c r="BG7" i="12"/>
  <c r="J5" i="5"/>
  <c r="BG8" i="12"/>
  <c r="K5" i="5"/>
  <c r="BG9" i="12"/>
  <c r="L5" i="5"/>
  <c r="BG10" i="12"/>
  <c r="M5" i="5"/>
  <c r="BG11" i="12"/>
  <c r="N5" i="5"/>
  <c r="BG12" i="12"/>
  <c r="O5" i="5"/>
  <c r="BG13" i="12"/>
  <c r="P5" i="5"/>
  <c r="BG14" i="12"/>
  <c r="Q5" i="5"/>
  <c r="BG15" i="12"/>
  <c r="R5" i="5"/>
  <c r="BG16" i="12"/>
  <c r="S5" i="5"/>
  <c r="BG17" i="12"/>
  <c r="T5" i="5"/>
  <c r="BG18" i="12"/>
  <c r="U5" i="5"/>
  <c r="BG19" i="12"/>
  <c r="V5" i="5"/>
  <c r="BG20" i="12"/>
  <c r="W5" i="5"/>
  <c r="BG21" i="12"/>
  <c r="X5" i="5"/>
  <c r="BG22" i="12"/>
  <c r="Y5" i="5"/>
  <c r="BG23" i="12"/>
  <c r="Z5" i="5"/>
  <c r="BG24" i="12"/>
  <c r="AA5" i="5"/>
  <c r="BG25" i="12"/>
  <c r="AB5" i="5"/>
  <c r="BG26" i="12"/>
  <c r="AC5" i="5"/>
  <c r="BG27" i="12"/>
  <c r="AD5" i="5"/>
  <c r="BG28" i="12"/>
  <c r="AE5" i="5"/>
  <c r="BG29" i="12"/>
  <c r="AF5" i="5"/>
  <c r="BG30" i="12"/>
  <c r="AG5" i="5"/>
  <c r="BG31" i="12"/>
  <c r="AH5" i="5"/>
  <c r="BG32" i="12"/>
  <c r="AI5" i="5"/>
  <c r="BG33" i="12"/>
  <c r="AJ5" i="5"/>
  <c r="BG34" i="12"/>
  <c r="AK5" i="5"/>
  <c r="BG35" i="12"/>
  <c r="AL5" i="5"/>
  <c r="BG36" i="12"/>
  <c r="AM5" i="5"/>
  <c r="BG37" i="12"/>
  <c r="AN5" i="5"/>
  <c r="BG38" i="12"/>
  <c r="AO5" i="5"/>
  <c r="BG39" i="12"/>
  <c r="AP5" i="5"/>
  <c r="BG40" i="12"/>
  <c r="AQ5" i="5"/>
  <c r="BG41" i="12"/>
  <c r="AR5" i="5"/>
  <c r="BG42" i="12"/>
  <c r="AS5" i="5"/>
  <c r="BG43" i="12"/>
  <c r="AT5" i="5"/>
  <c r="BG44" i="12"/>
  <c r="AU5" i="5"/>
  <c r="BG45" i="12"/>
  <c r="AV5" i="5"/>
  <c r="BG46" i="12"/>
  <c r="AW5" i="5"/>
  <c r="BG47" i="12"/>
  <c r="AX5" i="5"/>
  <c r="BG48" i="12"/>
  <c r="AY5" i="5"/>
  <c r="BG49" i="12"/>
  <c r="AZ5" i="5"/>
  <c r="BG50" i="12"/>
  <c r="BA5" i="5"/>
  <c r="BG51" i="12"/>
  <c r="BB5" i="5"/>
  <c r="BG52" i="12"/>
  <c r="BC5" i="5"/>
  <c r="BG53" i="12"/>
  <c r="BD5" i="5"/>
  <c r="BG54" i="12"/>
  <c r="BE5" i="5"/>
  <c r="BG55" i="12"/>
  <c r="BF5" i="5"/>
  <c r="BG56" i="12"/>
  <c r="BG5" i="5"/>
  <c r="BG57" i="12"/>
  <c r="BH5" i="5"/>
  <c r="BG58" i="12"/>
  <c r="BI5" i="5"/>
  <c r="BG59" i="12"/>
  <c r="BJ5" i="5"/>
  <c r="BG60" i="12"/>
  <c r="BK5" i="5"/>
  <c r="BG61" i="12"/>
  <c r="BH65"/>
  <c r="BH68"/>
  <c r="BH66"/>
  <c r="BH67"/>
  <c r="BH69"/>
  <c r="AY65"/>
  <c r="AY67"/>
  <c r="AY66"/>
  <c r="BQ68"/>
  <c r="BQ67"/>
  <c r="BQ64"/>
  <c r="BQ62"/>
  <c r="BH64"/>
  <c r="BH62"/>
  <c r="BH63"/>
  <c r="AY63"/>
  <c r="AY64"/>
  <c r="AY62"/>
  <c r="AY68"/>
  <c r="BQ66"/>
  <c r="BQ65"/>
  <c r="BQ63"/>
  <c r="BY68"/>
  <c r="BY64"/>
  <c r="BY67"/>
  <c r="BY62"/>
  <c r="BY66"/>
  <c r="BY63"/>
  <c r="BY65"/>
  <c r="BY69"/>
  <c r="BZ69"/>
  <c r="BZ65"/>
  <c r="BZ66"/>
  <c r="BZ63"/>
  <c r="BZ62"/>
  <c r="BZ67"/>
  <c r="BZ64"/>
  <c r="BZ68"/>
  <c r="D1" i="18"/>
  <c r="F18" i="22"/>
  <c r="D31" i="18"/>
  <c r="B7" i="17"/>
  <c r="E1" i="20"/>
  <c r="B9" i="17"/>
  <c r="E4" i="10"/>
  <c r="L3" i="30"/>
  <c r="G4" i="5"/>
  <c r="G5"/>
  <c r="H15" i="18"/>
  <c r="H23" i="22"/>
  <c r="H24" i="18"/>
  <c r="H34" i="22"/>
  <c r="H22" i="18"/>
  <c r="H31" i="22"/>
  <c r="H20" i="18"/>
  <c r="H29" i="22"/>
  <c r="H18" i="18"/>
  <c r="H27" i="22"/>
  <c r="H16" i="18"/>
  <c r="H24" i="22"/>
  <c r="H14" i="18"/>
  <c r="H22" i="22"/>
  <c r="H27" i="18"/>
  <c r="H38" i="22"/>
  <c r="H21" i="18"/>
  <c r="H30" i="22"/>
  <c r="H17" i="18"/>
  <c r="H26" i="22"/>
  <c r="H23" i="18"/>
  <c r="H33" i="22"/>
  <c r="H19" i="18"/>
  <c r="H28" i="22"/>
  <c r="C33" i="18"/>
  <c r="H13"/>
  <c r="H21" i="22"/>
  <c r="H26" i="18"/>
  <c r="H37" i="22"/>
  <c r="H25" i="18"/>
  <c r="H35" i="22"/>
  <c r="K17" i="18"/>
  <c r="E13" i="19"/>
  <c r="F20" i="18"/>
  <c r="F25"/>
  <c r="F19"/>
  <c r="F27"/>
  <c r="F21"/>
  <c r="F13"/>
  <c r="K14"/>
  <c r="E8" i="19"/>
  <c r="K23" i="18"/>
  <c r="E21" i="19"/>
  <c r="F15" i="18"/>
  <c r="F14"/>
  <c r="K24"/>
  <c r="E22" i="19"/>
  <c r="K16" i="18"/>
  <c r="E10" i="19"/>
  <c r="K25" i="18"/>
  <c r="E23" i="19"/>
  <c r="K21" i="18"/>
  <c r="E17" i="19"/>
  <c r="K20" i="18"/>
  <c r="E16" i="19"/>
  <c r="F16" i="18"/>
  <c r="F18"/>
  <c r="C31"/>
  <c r="F22"/>
  <c r="K15"/>
  <c r="E9" i="19"/>
  <c r="F24" i="18"/>
  <c r="F17"/>
  <c r="K13"/>
  <c r="F23"/>
  <c r="K22"/>
  <c r="E18" i="19"/>
  <c r="K19" i="18"/>
  <c r="E15" i="19"/>
  <c r="F26" i="18"/>
  <c r="G4" i="24"/>
  <c r="B1" i="7"/>
  <c r="F17" i="3"/>
  <c r="R17"/>
  <c r="K5" i="9"/>
  <c r="M17" i="3"/>
  <c r="E1" i="9"/>
  <c r="Q17" i="3"/>
  <c r="I5" i="9"/>
  <c r="B54" i="17"/>
  <c r="B56"/>
  <c r="I17" i="3"/>
  <c r="P17"/>
  <c r="G5" i="9"/>
  <c r="K17" i="3"/>
  <c r="E2" i="9"/>
  <c r="O17" i="3"/>
  <c r="E5" i="9"/>
  <c r="S17" i="3"/>
  <c r="M5" i="9"/>
  <c r="D17" i="3"/>
  <c r="H17"/>
  <c r="D2" i="18"/>
  <c r="G18" i="22"/>
  <c r="D32" i="18"/>
  <c r="D4"/>
  <c r="I18" i="22"/>
  <c r="D34" i="18"/>
  <c r="B39"/>
  <c r="B55" i="3"/>
  <c r="E1" i="25"/>
  <c r="G23" i="23"/>
  <c r="G6" i="24"/>
  <c r="G6" i="5"/>
  <c r="E14" i="17"/>
  <c r="F14"/>
  <c r="G14"/>
  <c r="H9" i="1"/>
  <c r="M14" i="17"/>
  <c r="Q14"/>
  <c r="S14"/>
  <c r="H21" i="1"/>
  <c r="Y14" i="17"/>
  <c r="AA14"/>
  <c r="AC14"/>
  <c r="H31" i="1"/>
  <c r="AE13" i="17"/>
  <c r="AE16"/>
  <c r="AG14"/>
  <c r="AK14"/>
  <c r="AL14"/>
  <c r="AO14"/>
  <c r="AQ14"/>
  <c r="H45" i="1"/>
  <c r="H47"/>
  <c r="B62" i="7"/>
  <c r="AX14" i="17"/>
  <c r="H51" i="1"/>
  <c r="BA14" i="17"/>
  <c r="H55" i="1"/>
  <c r="E59" i="12"/>
  <c r="C27" i="18"/>
  <c r="K27"/>
  <c r="E26" i="19"/>
  <c r="BP2" i="5"/>
  <c r="BN2"/>
  <c r="BL2"/>
  <c r="T5" i="29"/>
  <c r="AV5"/>
  <c r="AH5"/>
  <c r="AP67" i="12"/>
  <c r="AP65"/>
  <c r="AP63"/>
  <c r="AP66"/>
  <c r="AP62"/>
  <c r="H17" i="1"/>
  <c r="Q13" i="17"/>
  <c r="K14"/>
  <c r="K30"/>
  <c r="G44" i="18"/>
  <c r="K44"/>
  <c r="N6" i="25"/>
  <c r="F54" i="18"/>
  <c r="J54"/>
  <c r="J16" i="25"/>
  <c r="G58" i="18"/>
  <c r="K58"/>
  <c r="N20" i="25"/>
  <c r="F58" i="18"/>
  <c r="J58"/>
  <c r="J20" i="25"/>
  <c r="G50" i="18"/>
  <c r="K50"/>
  <c r="N12" i="25"/>
  <c r="F56" i="18"/>
  <c r="J56"/>
  <c r="J18" i="25"/>
  <c r="F53" i="18"/>
  <c r="J53"/>
  <c r="J15" i="25"/>
  <c r="F49" i="18"/>
  <c r="J49"/>
  <c r="J11" i="25"/>
  <c r="F57" i="18"/>
  <c r="J57"/>
  <c r="J19" i="25"/>
  <c r="E52" i="18"/>
  <c r="I52"/>
  <c r="F14" i="25"/>
  <c r="E50" i="18"/>
  <c r="I50"/>
  <c r="F12" i="25"/>
  <c r="G53" i="18"/>
  <c r="K53"/>
  <c r="N15" i="25"/>
  <c r="F51" i="18"/>
  <c r="J51"/>
  <c r="J13" i="25"/>
  <c r="E47" i="18"/>
  <c r="I47"/>
  <c r="F9" i="25"/>
  <c r="F47" i="18"/>
  <c r="J47"/>
  <c r="J9" i="25"/>
  <c r="G9"/>
  <c r="E45" i="18"/>
  <c r="I45"/>
  <c r="F7" i="25"/>
  <c r="G54" i="18"/>
  <c r="K54"/>
  <c r="N16" i="25"/>
  <c r="K16"/>
  <c r="E54" i="18"/>
  <c r="I54"/>
  <c r="F16" i="25"/>
  <c r="F52" i="18"/>
  <c r="J52"/>
  <c r="J14" i="25"/>
  <c r="G14"/>
  <c r="F50" i="18"/>
  <c r="J50"/>
  <c r="J12" i="25"/>
  <c r="G12"/>
  <c r="E56" i="18"/>
  <c r="I56"/>
  <c r="F18" i="25"/>
  <c r="E51" i="18"/>
  <c r="I51"/>
  <c r="F13" i="25"/>
  <c r="G57" i="18"/>
  <c r="K57"/>
  <c r="N19" i="25"/>
  <c r="K19"/>
  <c r="E58" i="18"/>
  <c r="I58"/>
  <c r="F20" i="25"/>
  <c r="G52" i="18"/>
  <c r="K52"/>
  <c r="N14" i="25"/>
  <c r="G56" i="18"/>
  <c r="K56"/>
  <c r="N18" i="25"/>
  <c r="K18"/>
  <c r="E53" i="18"/>
  <c r="I53"/>
  <c r="F15" i="25"/>
  <c r="G51" i="18"/>
  <c r="K51"/>
  <c r="N13" i="25"/>
  <c r="G49" i="18"/>
  <c r="K49"/>
  <c r="N11" i="25"/>
  <c r="K11"/>
  <c r="E49" i="18"/>
  <c r="I49"/>
  <c r="F11" i="25"/>
  <c r="E57" i="18"/>
  <c r="I57"/>
  <c r="F19" i="25"/>
  <c r="G45" i="18"/>
  <c r="K45"/>
  <c r="N7" i="25"/>
  <c r="G47" i="18"/>
  <c r="K47"/>
  <c r="N9" i="25"/>
  <c r="F45" i="18"/>
  <c r="J45"/>
  <c r="J7" i="25"/>
  <c r="E44" i="18"/>
  <c r="I44"/>
  <c r="F6" i="25"/>
  <c r="G46" i="18"/>
  <c r="K46"/>
  <c r="N8" i="25"/>
  <c r="F44" i="18"/>
  <c r="J44"/>
  <c r="J6" i="25"/>
  <c r="G6"/>
  <c r="F17" i="21"/>
  <c r="C21" i="19"/>
  <c r="F33" i="22"/>
  <c r="C13" i="19"/>
  <c r="F10" i="21"/>
  <c r="F26" i="22"/>
  <c r="F8" i="21"/>
  <c r="C10" i="19"/>
  <c r="F24" i="22"/>
  <c r="F7" i="21"/>
  <c r="C9" i="19"/>
  <c r="F23" i="22"/>
  <c r="F14" i="21"/>
  <c r="F30" i="22"/>
  <c r="C17" i="19"/>
  <c r="F12" i="21"/>
  <c r="F28" i="22"/>
  <c r="C15" i="19"/>
  <c r="C16"/>
  <c r="F29" i="22"/>
  <c r="F13" i="21"/>
  <c r="E46" i="18"/>
  <c r="I46"/>
  <c r="F8" i="25"/>
  <c r="AT14" i="17"/>
  <c r="AT31"/>
  <c r="H46" i="1"/>
  <c r="E50" i="12"/>
  <c r="AJ14" i="17"/>
  <c r="AJ30"/>
  <c r="H36" i="1"/>
  <c r="B51" i="7"/>
  <c r="AF14" i="17"/>
  <c r="AF30"/>
  <c r="H32" i="1"/>
  <c r="E36" i="12"/>
  <c r="V14" i="17"/>
  <c r="V31"/>
  <c r="H22" i="1"/>
  <c r="V13" i="17"/>
  <c r="T14"/>
  <c r="T31"/>
  <c r="H20" i="1"/>
  <c r="E24" i="12"/>
  <c r="C23" i="7"/>
  <c r="C37"/>
  <c r="C35"/>
  <c r="C49"/>
  <c r="C30"/>
  <c r="C58"/>
  <c r="C34"/>
  <c r="C56"/>
  <c r="C29"/>
  <c r="C66"/>
  <c r="C19"/>
  <c r="C32"/>
  <c r="C50"/>
  <c r="C68"/>
  <c r="C51"/>
  <c r="C69"/>
  <c r="C46"/>
  <c r="C33"/>
  <c r="C57"/>
  <c r="C55"/>
  <c r="C45"/>
  <c r="C18"/>
  <c r="C44"/>
  <c r="C26"/>
  <c r="C24"/>
  <c r="C70"/>
  <c r="C54"/>
  <c r="C71"/>
  <c r="C43"/>
  <c r="C28"/>
  <c r="C60"/>
  <c r="C20"/>
  <c r="C40"/>
  <c r="C72"/>
  <c r="C65"/>
  <c r="C47"/>
  <c r="C48"/>
  <c r="C61"/>
  <c r="C31"/>
  <c r="C41"/>
  <c r="C21"/>
  <c r="C59"/>
  <c r="C62"/>
  <c r="C53"/>
  <c r="C63"/>
  <c r="C25"/>
  <c r="C52"/>
  <c r="C22"/>
  <c r="C27"/>
  <c r="C67"/>
  <c r="C42"/>
  <c r="C38"/>
  <c r="C39"/>
  <c r="C64"/>
  <c r="C36"/>
  <c r="AB4" i="24"/>
  <c r="AB3"/>
  <c r="AJ4"/>
  <c r="AJ3"/>
  <c r="AN4"/>
  <c r="AN3"/>
  <c r="AT4"/>
  <c r="AT3"/>
  <c r="AZ4"/>
  <c r="AZ3"/>
  <c r="BD4"/>
  <c r="BD3"/>
  <c r="J5"/>
  <c r="AY6"/>
  <c r="AQ5"/>
  <c r="BG5"/>
  <c r="BE6"/>
  <c r="AA6"/>
  <c r="BF6"/>
  <c r="AO5"/>
  <c r="AI6"/>
  <c r="BA5"/>
  <c r="AS6"/>
  <c r="BK6"/>
  <c r="BF5"/>
  <c r="W4"/>
  <c r="W3"/>
  <c r="AA5"/>
  <c r="N6"/>
  <c r="BA6"/>
  <c r="AS5"/>
  <c r="K6"/>
  <c r="N5"/>
  <c r="BC6"/>
  <c r="W6"/>
  <c r="BD6"/>
  <c r="AK5"/>
  <c r="AG6"/>
  <c r="AY5"/>
  <c r="AQ6"/>
  <c r="BG6"/>
  <c r="AZ5"/>
  <c r="BJ6"/>
  <c r="BJ5"/>
  <c r="AO6"/>
  <c r="AI5"/>
  <c r="AP6"/>
  <c r="AX5"/>
  <c r="J6"/>
  <c r="W5"/>
  <c r="AT6"/>
  <c r="L6"/>
  <c r="L5"/>
  <c r="AJ5"/>
  <c r="P6"/>
  <c r="AT5"/>
  <c r="AK4"/>
  <c r="AK3"/>
  <c r="AY4"/>
  <c r="AY3"/>
  <c r="BG4"/>
  <c r="BG3"/>
  <c r="AK6"/>
  <c r="AN6"/>
  <c r="BD5"/>
  <c r="AF5"/>
  <c r="S4"/>
  <c r="S3"/>
  <c r="AI4"/>
  <c r="AI3"/>
  <c r="AS4"/>
  <c r="AS3"/>
  <c r="BE4"/>
  <c r="BE3"/>
  <c r="AP5"/>
  <c r="L4"/>
  <c r="L3"/>
  <c r="Z6"/>
  <c r="Z4"/>
  <c r="Z3"/>
  <c r="AL4"/>
  <c r="AL3"/>
  <c r="AX4"/>
  <c r="AX3"/>
  <c r="BF4"/>
  <c r="BF3"/>
  <c r="Q4"/>
  <c r="Q3"/>
  <c r="AJ6"/>
  <c r="AZ6"/>
  <c r="BE5"/>
  <c r="P5"/>
  <c r="S6"/>
  <c r="AF6"/>
  <c r="J4"/>
  <c r="J3"/>
  <c r="N4"/>
  <c r="N3"/>
  <c r="AL5"/>
  <c r="Q5"/>
  <c r="AG4"/>
  <c r="AG3"/>
  <c r="AQ4"/>
  <c r="AQ3"/>
  <c r="BC4"/>
  <c r="BC3"/>
  <c r="BK5"/>
  <c r="AG5"/>
  <c r="AN5"/>
  <c r="AX6"/>
  <c r="Z5"/>
  <c r="AA4"/>
  <c r="AA3"/>
  <c r="AO4"/>
  <c r="AO3"/>
  <c r="BA4"/>
  <c r="BA3"/>
  <c r="BK4"/>
  <c r="BK3"/>
  <c r="BJ4"/>
  <c r="BJ3"/>
  <c r="P4"/>
  <c r="P3"/>
  <c r="K4"/>
  <c r="K3"/>
  <c r="AF4"/>
  <c r="AF3"/>
  <c r="AP4"/>
  <c r="AP3"/>
  <c r="BB4"/>
  <c r="BB3"/>
  <c r="BB5"/>
  <c r="AL6"/>
  <c r="BB6"/>
  <c r="S5"/>
  <c r="BC5"/>
  <c r="K5"/>
  <c r="Q6"/>
  <c r="AB6"/>
  <c r="AB5"/>
  <c r="C25" i="19"/>
  <c r="F21" i="21"/>
  <c r="F37" i="22"/>
  <c r="K11" i="18"/>
  <c r="E25" i="21"/>
  <c r="E7" i="19"/>
  <c r="F18" i="21"/>
  <c r="F34" i="22"/>
  <c r="C22" i="19"/>
  <c r="F15" i="21"/>
  <c r="F31" i="22"/>
  <c r="C18" i="19"/>
  <c r="F11" i="21"/>
  <c r="C14" i="19"/>
  <c r="F27" i="22"/>
  <c r="C8" i="19"/>
  <c r="F22" i="22"/>
  <c r="F6" i="21"/>
  <c r="C7" i="19"/>
  <c r="F5" i="21"/>
  <c r="F21" i="22"/>
  <c r="F22" i="21"/>
  <c r="F38" i="22"/>
  <c r="C26" i="19"/>
  <c r="F35" i="22"/>
  <c r="C23" i="19"/>
  <c r="F19" i="21"/>
  <c r="F46" i="18"/>
  <c r="J46"/>
  <c r="J8" i="25"/>
  <c r="G8"/>
  <c r="G21" i="7"/>
  <c r="I21"/>
  <c r="H21"/>
  <c r="E21"/>
  <c r="F21"/>
  <c r="T30" i="17"/>
  <c r="B37" i="7"/>
  <c r="F37"/>
  <c r="E26" i="12"/>
  <c r="AF31" i="17"/>
  <c r="AJ13"/>
  <c r="AT30"/>
  <c r="K31"/>
  <c r="B32" i="7"/>
  <c r="G32"/>
  <c r="E21" i="12"/>
  <c r="T13" i="17"/>
  <c r="T16"/>
  <c r="B35" i="7"/>
  <c r="F35"/>
  <c r="V30" i="17"/>
  <c r="AF13"/>
  <c r="AF16"/>
  <c r="AJ31"/>
  <c r="B61" i="7"/>
  <c r="H61"/>
  <c r="AT13" i="17"/>
  <c r="AT16"/>
  <c r="AJ16"/>
  <c r="AJ19"/>
  <c r="E37" i="7"/>
  <c r="BD14" i="17"/>
  <c r="H56" i="1"/>
  <c r="BD13" i="17"/>
  <c r="BD16"/>
  <c r="BD31"/>
  <c r="BB14"/>
  <c r="H54" i="1"/>
  <c r="BB13" i="17"/>
  <c r="BB16"/>
  <c r="BB31"/>
  <c r="BB19"/>
  <c r="AZ14"/>
  <c r="AV14"/>
  <c r="H48" i="1"/>
  <c r="AR14" i="17"/>
  <c r="H44" i="1"/>
  <c r="AR13" i="17"/>
  <c r="AR16"/>
  <c r="AR31"/>
  <c r="AP14"/>
  <c r="H42" i="1"/>
  <c r="AN14" i="17"/>
  <c r="H40" i="1"/>
  <c r="AN13" i="17"/>
  <c r="AN30"/>
  <c r="AH14"/>
  <c r="H34" i="1"/>
  <c r="AH13" i="17"/>
  <c r="AH16"/>
  <c r="AD14"/>
  <c r="H30" i="1"/>
  <c r="AD13" i="17"/>
  <c r="AD30"/>
  <c r="AB14"/>
  <c r="H28" i="1"/>
  <c r="AB13" i="17"/>
  <c r="AB16"/>
  <c r="AB31"/>
  <c r="B43" i="7"/>
  <c r="Z14" i="17"/>
  <c r="H26" i="1"/>
  <c r="B41" i="7"/>
  <c r="X14" i="17"/>
  <c r="H24" i="1"/>
  <c r="X13" i="17"/>
  <c r="X30"/>
  <c r="E28" i="12"/>
  <c r="R14" i="17"/>
  <c r="H18" i="1"/>
  <c r="P14" i="17"/>
  <c r="H16" i="1"/>
  <c r="P13" i="17"/>
  <c r="P16"/>
  <c r="P31"/>
  <c r="B31" i="7"/>
  <c r="N14" i="17"/>
  <c r="H14" i="1"/>
  <c r="L14" i="17"/>
  <c r="H12" i="1"/>
  <c r="L13" i="17"/>
  <c r="L16"/>
  <c r="L31"/>
  <c r="J14"/>
  <c r="H10" i="1"/>
  <c r="J13" i="17"/>
  <c r="J30"/>
  <c r="H14"/>
  <c r="H8" i="1"/>
  <c r="H13" i="17"/>
  <c r="H30"/>
  <c r="D14"/>
  <c r="H4" i="1"/>
  <c r="B19" i="7"/>
  <c r="H50" i="1"/>
  <c r="H33"/>
  <c r="BE14" i="17"/>
  <c r="BC14"/>
  <c r="AY14"/>
  <c r="AY13"/>
  <c r="AY16"/>
  <c r="AY31"/>
  <c r="AU14"/>
  <c r="H41" i="1"/>
  <c r="AO13" i="17"/>
  <c r="AO16"/>
  <c r="H38" i="1"/>
  <c r="AI14" i="17"/>
  <c r="AE14"/>
  <c r="AE30"/>
  <c r="W14"/>
  <c r="H23" i="1"/>
  <c r="W13" i="17"/>
  <c r="W16"/>
  <c r="W31"/>
  <c r="U14"/>
  <c r="U13"/>
  <c r="U30"/>
  <c r="O14"/>
  <c r="H15" i="1"/>
  <c r="O13" i="17"/>
  <c r="O16"/>
  <c r="O31"/>
  <c r="I14"/>
  <c r="H57" i="1"/>
  <c r="B72" i="7"/>
  <c r="H43" i="1"/>
  <c r="H19"/>
  <c r="H3"/>
  <c r="H52"/>
  <c r="E56" i="12"/>
  <c r="H35" i="1"/>
  <c r="AI13" i="17"/>
  <c r="H27" i="1"/>
  <c r="U16" i="17"/>
  <c r="U31"/>
  <c r="O30"/>
  <c r="H13" i="1"/>
  <c r="M13" i="17"/>
  <c r="M16"/>
  <c r="M31"/>
  <c r="E47" i="12"/>
  <c r="AZ13" i="17"/>
  <c r="AZ16"/>
  <c r="AZ31"/>
  <c r="AZ30"/>
  <c r="AD16"/>
  <c r="AD31"/>
  <c r="P30"/>
  <c r="N13"/>
  <c r="N16"/>
  <c r="N31"/>
  <c r="N30"/>
  <c r="L30"/>
  <c r="B67" i="7"/>
  <c r="E39" i="12"/>
  <c r="E31"/>
  <c r="W30" i="17"/>
  <c r="G6" i="23"/>
  <c r="G5"/>
  <c r="G4"/>
  <c r="D33" i="18"/>
  <c r="D3"/>
  <c r="H18" i="22"/>
  <c r="H19" i="10"/>
  <c r="H17"/>
  <c r="H16"/>
  <c r="H15"/>
  <c r="G21" i="23"/>
  <c r="G17"/>
  <c r="G26" i="24"/>
  <c r="G14"/>
  <c r="G25"/>
  <c r="G22"/>
  <c r="G20"/>
  <c r="G19"/>
  <c r="G15"/>
  <c r="G11"/>
  <c r="G24" i="23"/>
  <c r="G25"/>
  <c r="G20"/>
  <c r="G15"/>
  <c r="H24" i="10"/>
  <c r="H22"/>
  <c r="G11" i="5"/>
  <c r="H4" i="10"/>
  <c r="H13"/>
  <c r="H11"/>
  <c r="B8" i="17"/>
  <c r="BC13"/>
  <c r="BC30"/>
  <c r="G13" i="23"/>
  <c r="G12"/>
  <c r="G14"/>
  <c r="H37" i="7"/>
  <c r="E32"/>
  <c r="E35"/>
  <c r="I61"/>
  <c r="G18" i="24"/>
  <c r="G17"/>
  <c r="G13"/>
  <c r="G22" i="23"/>
  <c r="G18"/>
  <c r="H5" i="10"/>
  <c r="H18"/>
  <c r="AP69" i="12"/>
  <c r="E32"/>
  <c r="E10"/>
  <c r="AP64"/>
  <c r="BE13" i="17"/>
  <c r="E61" i="12"/>
  <c r="B30" i="7"/>
  <c r="E45" i="12"/>
  <c r="B56" i="7"/>
  <c r="AG13" i="17"/>
  <c r="E8" i="12"/>
  <c r="D13" i="17"/>
  <c r="H16"/>
  <c r="H31"/>
  <c r="J16"/>
  <c r="J31"/>
  <c r="P35"/>
  <c r="E20" i="12"/>
  <c r="B39" i="7"/>
  <c r="X16" i="17"/>
  <c r="X31"/>
  <c r="Z13"/>
  <c r="Z56"/>
  <c r="Z58"/>
  <c r="E30" i="12"/>
  <c r="AB30" i="17"/>
  <c r="E38" i="12"/>
  <c r="AN16" i="17"/>
  <c r="AN31"/>
  <c r="AR30"/>
  <c r="E58" i="12"/>
  <c r="B69" i="7"/>
  <c r="BB30" i="17"/>
  <c r="BD30"/>
  <c r="C13"/>
  <c r="B18" i="7"/>
  <c r="E7" i="12"/>
  <c r="B27" i="7"/>
  <c r="E16" i="12"/>
  <c r="B46" i="7"/>
  <c r="B53"/>
  <c r="E42" i="12"/>
  <c r="AL13" i="17"/>
  <c r="AU13"/>
  <c r="E55" i="12"/>
  <c r="E54"/>
  <c r="B65" i="7"/>
  <c r="AX13" i="17"/>
  <c r="D16"/>
  <c r="D31"/>
  <c r="D30"/>
  <c r="B25" i="7"/>
  <c r="E14" i="12"/>
  <c r="B29" i="7"/>
  <c r="E18" i="12"/>
  <c r="E22"/>
  <c r="R13" i="17"/>
  <c r="R56"/>
  <c r="R58"/>
  <c r="B33" i="7"/>
  <c r="R30" i="17"/>
  <c r="R16"/>
  <c r="R31"/>
  <c r="Z30"/>
  <c r="Z16"/>
  <c r="Z31"/>
  <c r="B45" i="7"/>
  <c r="E34" i="12"/>
  <c r="AH30" i="17"/>
  <c r="AH31"/>
  <c r="B55" i="7"/>
  <c r="AN56" i="17"/>
  <c r="AN58"/>
  <c r="E44" i="12"/>
  <c r="B57" i="7"/>
  <c r="E46" i="12"/>
  <c r="AP13" i="17"/>
  <c r="AP16"/>
  <c r="AP19"/>
  <c r="AP31"/>
  <c r="AP30"/>
  <c r="B59" i="7"/>
  <c r="E48" i="12"/>
  <c r="AV13" i="17"/>
  <c r="AV56"/>
  <c r="AV58"/>
  <c r="E52" i="12"/>
  <c r="B63" i="7"/>
  <c r="AV16" i="17"/>
  <c r="AV31"/>
  <c r="AV30"/>
  <c r="E60" i="12"/>
  <c r="B71" i="7"/>
  <c r="AI56" i="17"/>
  <c r="AI58"/>
  <c r="H67" i="7"/>
  <c r="F67"/>
  <c r="I67"/>
  <c r="E67"/>
  <c r="G67"/>
  <c r="H7" i="1"/>
  <c r="B22" i="7"/>
  <c r="H22"/>
  <c r="G9" i="18"/>
  <c r="H10" i="10"/>
  <c r="G8" i="18"/>
  <c r="R6" i="24"/>
  <c r="V5"/>
  <c r="X4"/>
  <c r="U5"/>
  <c r="AM5"/>
  <c r="I5"/>
  <c r="Y6"/>
  <c r="X5"/>
  <c r="AD4"/>
  <c r="T4"/>
  <c r="X6"/>
  <c r="M6"/>
  <c r="AH6"/>
  <c r="U6"/>
  <c r="AV6"/>
  <c r="BI5"/>
  <c r="G48" i="18"/>
  <c r="K48"/>
  <c r="N10" i="25"/>
  <c r="M5" i="24"/>
  <c r="BH4"/>
  <c r="AU5"/>
  <c r="AE4"/>
  <c r="AC4"/>
  <c r="O6"/>
  <c r="BH5"/>
  <c r="V6"/>
  <c r="Y4"/>
  <c r="T6"/>
  <c r="R5"/>
  <c r="AW5"/>
  <c r="AR4"/>
  <c r="M4"/>
  <c r="M3"/>
  <c r="AW6"/>
  <c r="R4"/>
  <c r="R3"/>
  <c r="AH5"/>
  <c r="AR6"/>
  <c r="AC6"/>
  <c r="AR5"/>
  <c r="BI4"/>
  <c r="AV4"/>
  <c r="AC5"/>
  <c r="BH6"/>
  <c r="AE6"/>
  <c r="AV5"/>
  <c r="AU6"/>
  <c r="AH4"/>
  <c r="AH3"/>
  <c r="BI6"/>
  <c r="I6"/>
  <c r="G55" i="18"/>
  <c r="K55"/>
  <c r="N17" i="25"/>
  <c r="AM6" i="24"/>
  <c r="Y5"/>
  <c r="AE5"/>
  <c r="AD6"/>
  <c r="AM4"/>
  <c r="AM3"/>
  <c r="U4"/>
  <c r="U3"/>
  <c r="T5"/>
  <c r="O5"/>
  <c r="AW4"/>
  <c r="AW3"/>
  <c r="O4"/>
  <c r="O3"/>
  <c r="I4"/>
  <c r="I3"/>
  <c r="V4"/>
  <c r="V3"/>
  <c r="AU4"/>
  <c r="AU3"/>
  <c r="AD5"/>
  <c r="AP5" i="23"/>
  <c r="S6"/>
  <c r="P6"/>
  <c r="AX4"/>
  <c r="AX3"/>
  <c r="Q4"/>
  <c r="Q3"/>
  <c r="BJ5"/>
  <c r="AX6"/>
  <c r="BA4"/>
  <c r="BA3"/>
  <c r="J5"/>
  <c r="W5"/>
  <c r="N6"/>
  <c r="AN5"/>
  <c r="BK4"/>
  <c r="BK3"/>
  <c r="AQ5"/>
  <c r="AP6"/>
  <c r="BF4"/>
  <c r="BF3"/>
  <c r="AN6"/>
  <c r="AZ6"/>
  <c r="BC6"/>
  <c r="AO6"/>
  <c r="BF6"/>
  <c r="AG4"/>
  <c r="AG3"/>
  <c r="BG6"/>
  <c r="L4"/>
  <c r="L3"/>
  <c r="AB5"/>
  <c r="AL4"/>
  <c r="AL3"/>
  <c r="AT6"/>
  <c r="AG6"/>
  <c r="K6"/>
  <c r="BG5"/>
  <c r="AF5"/>
  <c r="N5"/>
  <c r="AS5"/>
  <c r="K5"/>
  <c r="J4"/>
  <c r="J3"/>
  <c r="BJ6"/>
  <c r="AI6"/>
  <c r="BB6"/>
  <c r="AO5"/>
  <c r="AY5"/>
  <c r="AB4"/>
  <c r="AB3"/>
  <c r="AZ5"/>
  <c r="W4"/>
  <c r="W3"/>
  <c r="AN4"/>
  <c r="AN3"/>
  <c r="AQ4"/>
  <c r="AQ3"/>
  <c r="K4"/>
  <c r="K3"/>
  <c r="BK5"/>
  <c r="AS6"/>
  <c r="BE4"/>
  <c r="BE3"/>
  <c r="L6"/>
  <c r="X4"/>
  <c r="AE6"/>
  <c r="U4"/>
  <c r="M5"/>
  <c r="BH6"/>
  <c r="O5"/>
  <c r="AM4"/>
  <c r="AC5"/>
  <c r="AH5"/>
  <c r="AH4"/>
  <c r="V6"/>
  <c r="AU5"/>
  <c r="AD4"/>
  <c r="U5"/>
  <c r="AV6"/>
  <c r="AV5"/>
  <c r="AR5"/>
  <c r="X5"/>
  <c r="BI4"/>
  <c r="Y6"/>
  <c r="V4"/>
  <c r="AD5"/>
  <c r="AM5"/>
  <c r="AR6"/>
  <c r="AU4"/>
  <c r="U6"/>
  <c r="BI5"/>
  <c r="AW6"/>
  <c r="AU6"/>
  <c r="AH6"/>
  <c r="AA6"/>
  <c r="Q5"/>
  <c r="AK5"/>
  <c r="AO4"/>
  <c r="AO3"/>
  <c r="AK6"/>
  <c r="BD4"/>
  <c r="BD3"/>
  <c r="BG4"/>
  <c r="BG3"/>
  <c r="AA4"/>
  <c r="AA3"/>
  <c r="AJ4"/>
  <c r="AJ3"/>
  <c r="AT5"/>
  <c r="P4"/>
  <c r="P3"/>
  <c r="P5"/>
  <c r="AY6"/>
  <c r="J6"/>
  <c r="BA5"/>
  <c r="AL6"/>
  <c r="BC4"/>
  <c r="BC3"/>
  <c r="Z4"/>
  <c r="Z3"/>
  <c r="AT4"/>
  <c r="AT3"/>
  <c r="AX5"/>
  <c r="BK6"/>
  <c r="AY4"/>
  <c r="AY3"/>
  <c r="AI4"/>
  <c r="AI3"/>
  <c r="S4"/>
  <c r="S3"/>
  <c r="BD5"/>
  <c r="AJ6"/>
  <c r="Q6"/>
  <c r="BC5"/>
  <c r="AZ4"/>
  <c r="AZ3"/>
  <c r="AF4"/>
  <c r="AF3"/>
  <c r="S5"/>
  <c r="W6"/>
  <c r="BE6"/>
  <c r="AB6"/>
  <c r="BA6"/>
  <c r="Z6"/>
  <c r="AA5"/>
  <c r="AJ5"/>
  <c r="N4"/>
  <c r="N3"/>
  <c r="AG5"/>
  <c r="AQ6"/>
  <c r="AI5"/>
  <c r="AL5"/>
  <c r="BF5"/>
  <c r="L5"/>
  <c r="BD6"/>
  <c r="BE5"/>
  <c r="AP4"/>
  <c r="AP3"/>
  <c r="BB5"/>
  <c r="BB4"/>
  <c r="BB3"/>
  <c r="AS4"/>
  <c r="AS3"/>
  <c r="BJ4"/>
  <c r="BJ3"/>
  <c r="Z5"/>
  <c r="AK4"/>
  <c r="AK3"/>
  <c r="AF6"/>
  <c r="R4"/>
  <c r="AE5"/>
  <c r="V5"/>
  <c r="O4"/>
  <c r="AR4"/>
  <c r="BH5"/>
  <c r="Y4"/>
  <c r="Y5"/>
  <c r="R5"/>
  <c r="T6"/>
  <c r="I4"/>
  <c r="AV4"/>
  <c r="X6"/>
  <c r="AM6"/>
  <c r="O6"/>
  <c r="AE4"/>
  <c r="T4"/>
  <c r="AC4"/>
  <c r="AD6"/>
  <c r="BI6"/>
  <c r="I5"/>
  <c r="T5"/>
  <c r="M6"/>
  <c r="BH4"/>
  <c r="I6"/>
  <c r="AW5"/>
  <c r="AW4"/>
  <c r="M4"/>
  <c r="AC6"/>
  <c r="R6"/>
  <c r="E71" i="7"/>
  <c r="E63"/>
  <c r="AV35" i="17"/>
  <c r="I59" i="7"/>
  <c r="AP56" i="17"/>
  <c r="AP58"/>
  <c r="E57" i="7"/>
  <c r="AN35" i="17"/>
  <c r="R35"/>
  <c r="H29" i="7"/>
  <c r="H65"/>
  <c r="G65"/>
  <c r="F65"/>
  <c r="I65"/>
  <c r="E65"/>
  <c r="F62"/>
  <c r="AL16" i="17"/>
  <c r="AL19"/>
  <c r="AL56"/>
  <c r="AL58"/>
  <c r="E53" i="7"/>
  <c r="H53"/>
  <c r="I53"/>
  <c r="F53"/>
  <c r="G53"/>
  <c r="AE56" i="17"/>
  <c r="AE58"/>
  <c r="L56"/>
  <c r="L58"/>
  <c r="L19"/>
  <c r="C56"/>
  <c r="C58"/>
  <c r="C16"/>
  <c r="C19"/>
  <c r="E69" i="7"/>
  <c r="I69"/>
  <c r="AH56" i="17"/>
  <c r="AH58"/>
  <c r="G43" i="7"/>
  <c r="H43"/>
  <c r="H41"/>
  <c r="E41"/>
  <c r="I41"/>
  <c r="F31"/>
  <c r="I31"/>
  <c r="H31"/>
  <c r="G19"/>
  <c r="H19"/>
  <c r="E19"/>
  <c r="AO56" i="17"/>
  <c r="AO58"/>
  <c r="F72" i="7"/>
  <c r="I72"/>
  <c r="BD56" i="17"/>
  <c r="BD58"/>
  <c r="BD19"/>
  <c r="AR56"/>
  <c r="AR58"/>
  <c r="I55" i="7"/>
  <c r="E55"/>
  <c r="G55"/>
  <c r="H55"/>
  <c r="F55"/>
  <c r="I45"/>
  <c r="H45"/>
  <c r="E45"/>
  <c r="F45"/>
  <c r="G45"/>
  <c r="H33"/>
  <c r="E33"/>
  <c r="F33"/>
  <c r="I33"/>
  <c r="G33"/>
  <c r="N56" i="17"/>
  <c r="N58"/>
  <c r="J56"/>
  <c r="J58"/>
  <c r="H25" i="7"/>
  <c r="I25"/>
  <c r="G25"/>
  <c r="F25"/>
  <c r="E25"/>
  <c r="AX56" i="17"/>
  <c r="AX58"/>
  <c r="BC16"/>
  <c r="AU56"/>
  <c r="AU58"/>
  <c r="I46" i="7"/>
  <c r="U56" i="17"/>
  <c r="U58"/>
  <c r="I27" i="7"/>
  <c r="I18"/>
  <c r="BB56" i="17"/>
  <c r="BB58"/>
  <c r="AB19"/>
  <c r="Z19"/>
  <c r="I39" i="7"/>
  <c r="P56" i="17"/>
  <c r="P58"/>
  <c r="H56"/>
  <c r="H58"/>
  <c r="D35"/>
  <c r="F56" i="7"/>
  <c r="I56"/>
  <c r="H56"/>
  <c r="E30"/>
  <c r="G30"/>
  <c r="M3" i="23"/>
  <c r="BH3"/>
  <c r="F55" i="18"/>
  <c r="J55"/>
  <c r="J17" i="25"/>
  <c r="AC3" i="23"/>
  <c r="AE3"/>
  <c r="AV3"/>
  <c r="O3"/>
  <c r="F48" i="18"/>
  <c r="J48"/>
  <c r="J10" i="25"/>
  <c r="AU3" i="23"/>
  <c r="V3"/>
  <c r="BI3"/>
  <c r="F43" i="18"/>
  <c r="J43"/>
  <c r="J5" i="25"/>
  <c r="AD3" i="23"/>
  <c r="AM3"/>
  <c r="U3"/>
  <c r="X3"/>
  <c r="AJ56" i="17"/>
  <c r="AJ58"/>
  <c r="BT6" i="5"/>
  <c r="BL6"/>
  <c r="BN6"/>
  <c r="BQ6"/>
  <c r="BR6"/>
  <c r="BM6"/>
  <c r="BO6"/>
  <c r="BP6"/>
  <c r="BS6"/>
  <c r="E48" i="18"/>
  <c r="I48"/>
  <c r="F10" i="25"/>
  <c r="F8" i="18"/>
  <c r="E7"/>
  <c r="H25" i="22"/>
  <c r="Q33" i="18"/>
  <c r="H9"/>
  <c r="E55"/>
  <c r="I55"/>
  <c r="F17" i="25"/>
  <c r="E43" i="18"/>
  <c r="I43"/>
  <c r="F5" i="25"/>
  <c r="G5"/>
  <c r="I5"/>
  <c r="E8" i="18"/>
  <c r="H8"/>
  <c r="F56" i="17"/>
  <c r="F58"/>
  <c r="F9" i="18"/>
  <c r="H7"/>
  <c r="BP4" i="5"/>
  <c r="BQ4"/>
  <c r="BT4"/>
  <c r="BO4"/>
  <c r="BL4"/>
  <c r="BN4"/>
  <c r="BM4"/>
  <c r="BR4"/>
  <c r="BS4"/>
  <c r="AT56" i="17"/>
  <c r="AT58"/>
  <c r="H32" i="22"/>
  <c r="W33" i="18"/>
  <c r="E11" i="12"/>
  <c r="AV3" i="24"/>
  <c r="AE3"/>
  <c r="BH3"/>
  <c r="T3"/>
  <c r="AW3" i="23"/>
  <c r="T3"/>
  <c r="I3"/>
  <c r="Y3"/>
  <c r="AR3"/>
  <c r="R3"/>
  <c r="AH3"/>
  <c r="G43" i="18"/>
  <c r="K43"/>
  <c r="N5" i="25"/>
  <c r="K5"/>
  <c r="BI3" i="24"/>
  <c r="G42" i="18"/>
  <c r="K42"/>
  <c r="N4" i="25"/>
  <c r="F7" i="18"/>
  <c r="E9"/>
  <c r="G7"/>
  <c r="AF56" i="17"/>
  <c r="AF58"/>
  <c r="T56"/>
  <c r="T58"/>
  <c r="BP5" i="5"/>
  <c r="BR5"/>
  <c r="BM5"/>
  <c r="BL5"/>
  <c r="BN5"/>
  <c r="BO5"/>
  <c r="BS5"/>
  <c r="BQ5"/>
  <c r="BT5"/>
  <c r="AR3" i="24"/>
  <c r="Y3"/>
  <c r="AC3"/>
  <c r="AD3"/>
  <c r="X3"/>
  <c r="BC19" i="17"/>
  <c r="L35"/>
  <c r="R19"/>
  <c r="AN19"/>
  <c r="P19"/>
  <c r="BB35"/>
  <c r="J19"/>
  <c r="J35"/>
  <c r="N19"/>
  <c r="N35"/>
  <c r="AR35"/>
  <c r="AR19"/>
  <c r="AO19"/>
  <c r="AO35"/>
  <c r="AH19"/>
  <c r="AH35"/>
  <c r="AE19"/>
  <c r="AP35"/>
  <c r="K33" i="18"/>
  <c r="H20" i="22"/>
  <c r="F16" i="21"/>
  <c r="F32" i="22"/>
  <c r="W31" i="18"/>
  <c r="G22" i="7"/>
  <c r="I22"/>
  <c r="I20" i="22"/>
  <c r="K34" i="18"/>
  <c r="W32"/>
  <c r="G32" i="22"/>
  <c r="I25"/>
  <c r="Q34" i="18"/>
  <c r="F42"/>
  <c r="J42"/>
  <c r="J4" i="25"/>
  <c r="G20" i="22"/>
  <c r="K32" i="18"/>
  <c r="F9" i="21"/>
  <c r="F25" i="22"/>
  <c r="Q31" i="18"/>
  <c r="I32" i="22"/>
  <c r="W34" i="18"/>
  <c r="X34"/>
  <c r="F4" i="21"/>
  <c r="K31" i="18"/>
  <c r="L31"/>
  <c r="F20" i="22"/>
  <c r="G25"/>
  <c r="Q32" i="18"/>
  <c r="R32"/>
  <c r="K4" i="25"/>
  <c r="L4"/>
  <c r="M4"/>
  <c r="L32" i="18"/>
  <c r="M31"/>
  <c r="C42" i="17"/>
  <c r="X33" i="18"/>
  <c r="X32"/>
  <c r="X31"/>
  <c r="L33"/>
  <c r="R31"/>
  <c r="L34"/>
  <c r="M34"/>
  <c r="R33"/>
  <c r="R34"/>
  <c r="N34"/>
  <c r="O34"/>
  <c r="M32"/>
  <c r="M33"/>
  <c r="S34"/>
  <c r="S32"/>
  <c r="S31"/>
  <c r="S33"/>
  <c r="Y33"/>
  <c r="Y32"/>
  <c r="Y34"/>
  <c r="Y31"/>
  <c r="O31"/>
  <c r="N31"/>
  <c r="AA31"/>
  <c r="Z31"/>
  <c r="Z32"/>
  <c r="AA32"/>
  <c r="AA34"/>
  <c r="Z34"/>
  <c r="AA33"/>
  <c r="Z33"/>
  <c r="T31"/>
  <c r="U31"/>
  <c r="T34"/>
  <c r="U34"/>
  <c r="N32"/>
  <c r="O32"/>
  <c r="T33"/>
  <c r="U33"/>
  <c r="U32"/>
  <c r="T32"/>
  <c r="O33"/>
  <c r="N33"/>
  <c r="F57" i="7"/>
  <c r="G57"/>
  <c r="I57"/>
  <c r="AD56" i="17"/>
  <c r="AD58"/>
  <c r="BC56"/>
  <c r="BC58"/>
  <c r="AB56"/>
  <c r="AB58"/>
  <c r="AG16"/>
  <c r="AG19"/>
  <c r="AG56"/>
  <c r="AG58"/>
  <c r="H30" i="7"/>
  <c r="I30"/>
  <c r="E23" i="12"/>
  <c r="S13" i="17"/>
  <c r="I13"/>
  <c r="I30"/>
  <c r="E41" i="12"/>
  <c r="BE16" i="17"/>
  <c r="BE31"/>
  <c r="B66" i="7"/>
  <c r="AO30" i="17"/>
  <c r="I71" i="7"/>
  <c r="G71"/>
  <c r="H63"/>
  <c r="F63"/>
  <c r="I63"/>
  <c r="E59"/>
  <c r="H59"/>
  <c r="G59"/>
  <c r="E29"/>
  <c r="I29"/>
  <c r="G29"/>
  <c r="AU16" i="17"/>
  <c r="E46" i="7"/>
  <c r="F46"/>
  <c r="G27"/>
  <c r="H27"/>
  <c r="F18"/>
  <c r="G18"/>
  <c r="E18"/>
  <c r="H69"/>
  <c r="F69"/>
  <c r="F39"/>
  <c r="E39"/>
  <c r="G39"/>
  <c r="BE19" i="17"/>
  <c r="B20" i="7"/>
  <c r="E19" i="12"/>
  <c r="H62" i="7"/>
  <c r="G62"/>
  <c r="E62"/>
  <c r="E25" i="12"/>
  <c r="B36" i="7"/>
  <c r="M30" i="17"/>
  <c r="B24" i="7"/>
  <c r="E13" i="12"/>
  <c r="E56" i="7"/>
  <c r="G56"/>
  <c r="B42"/>
  <c r="AA13" i="17"/>
  <c r="B58" i="7"/>
  <c r="AQ13" i="17"/>
  <c r="H72" i="7"/>
  <c r="G72"/>
  <c r="E72"/>
  <c r="AI30" i="17"/>
  <c r="AU31"/>
  <c r="AU30"/>
  <c r="BC31"/>
  <c r="BC35"/>
  <c r="B48" i="7"/>
  <c r="E37" i="12"/>
  <c r="F19" i="7"/>
  <c r="I19"/>
  <c r="B23"/>
  <c r="E12" i="12"/>
  <c r="E31" i="7"/>
  <c r="G31"/>
  <c r="G41"/>
  <c r="F41"/>
  <c r="E43"/>
  <c r="I43"/>
  <c r="F43"/>
  <c r="V16" i="17"/>
  <c r="V56"/>
  <c r="V58"/>
  <c r="E51" i="7"/>
  <c r="F51"/>
  <c r="G51"/>
  <c r="H51"/>
  <c r="I51"/>
  <c r="Q16" i="17"/>
  <c r="Q19"/>
  <c r="Q56"/>
  <c r="Q58"/>
  <c r="F22" i="7"/>
  <c r="E22"/>
  <c r="AE35" i="17"/>
  <c r="AV19"/>
  <c r="BD35"/>
  <c r="Z35"/>
  <c r="D19"/>
  <c r="G13"/>
  <c r="BE56"/>
  <c r="BE58"/>
  <c r="F30" i="7"/>
  <c r="D56" i="17"/>
  <c r="D58"/>
  <c r="H39" i="7"/>
  <c r="H18"/>
  <c r="E27"/>
  <c r="F27"/>
  <c r="G46"/>
  <c r="H46"/>
  <c r="AX16" i="17"/>
  <c r="AX19"/>
  <c r="G69" i="7"/>
  <c r="I62"/>
  <c r="F29"/>
  <c r="H57"/>
  <c r="F59"/>
  <c r="G63"/>
  <c r="H71"/>
  <c r="F71"/>
  <c r="AI16" i="17"/>
  <c r="AI19"/>
  <c r="B70" i="7"/>
  <c r="E51" i="12"/>
  <c r="E35"/>
  <c r="B52" i="7"/>
  <c r="E9" i="12"/>
  <c r="BE30" i="17"/>
  <c r="I16"/>
  <c r="I31"/>
  <c r="AO31"/>
  <c r="B50" i="7"/>
  <c r="B34"/>
  <c r="AE31" i="17"/>
  <c r="AB35"/>
  <c r="B49" i="7"/>
  <c r="E61"/>
  <c r="H32"/>
  <c r="G37"/>
  <c r="H25" i="1"/>
  <c r="H53"/>
  <c r="I37" i="7"/>
  <c r="I35"/>
  <c r="E40" i="12"/>
  <c r="H11" i="1"/>
  <c r="K13" i="25"/>
  <c r="G10"/>
  <c r="K8"/>
  <c r="G15"/>
  <c r="G17"/>
  <c r="H10"/>
  <c r="I10"/>
  <c r="K10"/>
  <c r="H17"/>
  <c r="I17"/>
  <c r="K17"/>
  <c r="G7"/>
  <c r="K7"/>
  <c r="G13"/>
  <c r="K15"/>
  <c r="G19"/>
  <c r="G11"/>
  <c r="K12"/>
  <c r="G20"/>
  <c r="G16"/>
  <c r="K6"/>
  <c r="H5"/>
  <c r="G61" i="7"/>
  <c r="K9" i="25"/>
  <c r="K14"/>
  <c r="G18"/>
  <c r="K20"/>
  <c r="L5"/>
  <c r="M5"/>
  <c r="M17"/>
  <c r="L17"/>
  <c r="H8"/>
  <c r="I8"/>
  <c r="I6"/>
  <c r="H6"/>
  <c r="H7"/>
  <c r="I7"/>
  <c r="L7"/>
  <c r="M7"/>
  <c r="L18"/>
  <c r="M18"/>
  <c r="M19"/>
  <c r="L19"/>
  <c r="L16"/>
  <c r="M16"/>
  <c r="I13"/>
  <c r="H13"/>
  <c r="L15"/>
  <c r="M15"/>
  <c r="H19"/>
  <c r="I19"/>
  <c r="H11"/>
  <c r="I11"/>
  <c r="M12"/>
  <c r="L12"/>
  <c r="I20"/>
  <c r="H20"/>
  <c r="I16"/>
  <c r="H16"/>
  <c r="M6"/>
  <c r="L6"/>
  <c r="G9" i="29"/>
  <c r="G11"/>
  <c r="G13"/>
  <c r="G15"/>
  <c r="G17"/>
  <c r="G19"/>
  <c r="G21"/>
  <c r="G23"/>
  <c r="G25"/>
  <c r="G7"/>
  <c r="G8"/>
  <c r="G10"/>
  <c r="G12"/>
  <c r="G14"/>
  <c r="G16"/>
  <c r="G18"/>
  <c r="G20"/>
  <c r="G22"/>
  <c r="G24"/>
  <c r="G26"/>
  <c r="L8" i="25"/>
  <c r="M8"/>
  <c r="M9"/>
  <c r="L9"/>
  <c r="M11"/>
  <c r="L11"/>
  <c r="L13"/>
  <c r="M13"/>
  <c r="M14"/>
  <c r="L14"/>
  <c r="H12"/>
  <c r="I12"/>
  <c r="H14"/>
  <c r="I14"/>
  <c r="H9"/>
  <c r="I9"/>
  <c r="I15"/>
  <c r="H15"/>
  <c r="H18"/>
  <c r="I18"/>
  <c r="L20"/>
  <c r="M20"/>
  <c r="Q30" i="17"/>
  <c r="Q31"/>
  <c r="Q35"/>
  <c r="AM14"/>
  <c r="H29" i="1"/>
  <c r="AT19" i="17"/>
  <c r="AT35"/>
  <c r="AI31"/>
  <c r="E27" i="12"/>
  <c r="AY30" i="17"/>
  <c r="I32" i="7"/>
  <c r="H35"/>
  <c r="B47"/>
  <c r="AS14" i="17"/>
  <c r="H49" i="1"/>
  <c r="AF19" i="17"/>
  <c r="AF35"/>
  <c r="T19"/>
  <c r="T35"/>
  <c r="E49" i="12"/>
  <c r="AS13" i="17"/>
  <c r="B60" i="7"/>
  <c r="AC31" i="17"/>
  <c r="AC30"/>
  <c r="F32" i="7"/>
  <c r="G35"/>
  <c r="F61"/>
  <c r="H39" i="1"/>
  <c r="AW14" i="17"/>
  <c r="BA30"/>
  <c r="BA31"/>
  <c r="AQ30"/>
  <c r="AQ16"/>
  <c r="AQ31"/>
  <c r="AK31"/>
  <c r="AK30"/>
  <c r="AX30"/>
  <c r="AX31"/>
  <c r="AL31"/>
  <c r="AL30"/>
  <c r="AL35"/>
  <c r="AG30"/>
  <c r="AG31"/>
  <c r="AG35"/>
  <c r="Y13"/>
  <c r="Y30"/>
  <c r="Y16"/>
  <c r="Y31"/>
  <c r="G16"/>
  <c r="G31"/>
  <c r="G30"/>
  <c r="E31"/>
  <c r="E30"/>
  <c r="C30"/>
  <c r="C31"/>
  <c r="C35"/>
  <c r="F30"/>
  <c r="F35"/>
  <c r="F31"/>
  <c r="AJ35"/>
  <c r="S30"/>
  <c r="S16"/>
  <c r="S31"/>
  <c r="AA30"/>
  <c r="AA16"/>
  <c r="AA31"/>
  <c r="B40" i="7"/>
  <c r="E29" i="12"/>
  <c r="B38" i="7"/>
  <c r="X56" i="17"/>
  <c r="X58"/>
  <c r="I50" i="7"/>
  <c r="F50"/>
  <c r="G50"/>
  <c r="E50"/>
  <c r="H50"/>
  <c r="I56" i="17"/>
  <c r="I58"/>
  <c r="G56"/>
  <c r="G58"/>
  <c r="G23" i="7"/>
  <c r="E23"/>
  <c r="F23"/>
  <c r="H23"/>
  <c r="I23"/>
  <c r="I48"/>
  <c r="F48"/>
  <c r="H48"/>
  <c r="E48"/>
  <c r="G48"/>
  <c r="H58"/>
  <c r="I58"/>
  <c r="F58"/>
  <c r="G58"/>
  <c r="E58"/>
  <c r="H42"/>
  <c r="G42"/>
  <c r="F42"/>
  <c r="E42"/>
  <c r="I42"/>
  <c r="H19" i="17"/>
  <c r="H35"/>
  <c r="I24" i="7"/>
  <c r="F24"/>
  <c r="H24"/>
  <c r="G24"/>
  <c r="E24"/>
  <c r="O56" i="17"/>
  <c r="O58"/>
  <c r="E56"/>
  <c r="E58"/>
  <c r="AU19"/>
  <c r="AU35"/>
  <c r="G66" i="7"/>
  <c r="H66"/>
  <c r="F66"/>
  <c r="E66"/>
  <c r="I66"/>
  <c r="AK56" i="17"/>
  <c r="AK58"/>
  <c r="S56"/>
  <c r="S58"/>
  <c r="AD19"/>
  <c r="AD35"/>
  <c r="K13"/>
  <c r="B26" i="7"/>
  <c r="E15" i="12"/>
  <c r="B68" i="7"/>
  <c r="E57" i="12"/>
  <c r="BA13" i="17"/>
  <c r="E17" i="12"/>
  <c r="B28" i="7"/>
  <c r="I49"/>
  <c r="G49"/>
  <c r="F49"/>
  <c r="H49"/>
  <c r="E49"/>
  <c r="G34"/>
  <c r="H34"/>
  <c r="F34"/>
  <c r="I34"/>
  <c r="E34"/>
  <c r="H52"/>
  <c r="F52"/>
  <c r="I52"/>
  <c r="G52"/>
  <c r="E52"/>
  <c r="F70"/>
  <c r="H70"/>
  <c r="G70"/>
  <c r="E70"/>
  <c r="I70"/>
  <c r="V19" i="17"/>
  <c r="V35"/>
  <c r="AQ56"/>
  <c r="AQ58"/>
  <c r="AA56"/>
  <c r="AA58"/>
  <c r="H36" i="7"/>
  <c r="G36"/>
  <c r="E36"/>
  <c r="F36"/>
  <c r="I36"/>
  <c r="G20"/>
  <c r="E20"/>
  <c r="I20"/>
  <c r="H20"/>
  <c r="F20"/>
  <c r="AY56" i="17"/>
  <c r="AY58"/>
  <c r="U19"/>
  <c r="U35"/>
  <c r="AI35"/>
  <c r="BH49" i="12"/>
  <c r="AX35" i="17"/>
  <c r="BE35"/>
  <c r="M10" i="25"/>
  <c r="L10"/>
  <c r="H24" i="29"/>
  <c r="AI24"/>
  <c r="U24"/>
  <c r="BJ24"/>
  <c r="AV24"/>
  <c r="BK24"/>
  <c r="AW24"/>
  <c r="AH24"/>
  <c r="H20"/>
  <c r="BJ20"/>
  <c r="BK20"/>
  <c r="AV20"/>
  <c r="AW20"/>
  <c r="AI20"/>
  <c r="U20"/>
  <c r="AH20"/>
  <c r="H16"/>
  <c r="BJ16"/>
  <c r="AV16"/>
  <c r="AW16"/>
  <c r="BK16"/>
  <c r="AI16"/>
  <c r="U16"/>
  <c r="AH16"/>
  <c r="BJ12"/>
  <c r="BK12"/>
  <c r="AI12"/>
  <c r="U12"/>
  <c r="H12"/>
  <c r="AV12"/>
  <c r="AW12"/>
  <c r="AH12"/>
  <c r="AW8"/>
  <c r="BK8"/>
  <c r="BJ8"/>
  <c r="H8"/>
  <c r="AI8"/>
  <c r="U8"/>
  <c r="AH8"/>
  <c r="AV8"/>
  <c r="H25"/>
  <c r="BK25"/>
  <c r="AI25"/>
  <c r="U25"/>
  <c r="AH25"/>
  <c r="BJ25"/>
  <c r="AV25"/>
  <c r="AW25"/>
  <c r="AH21"/>
  <c r="AI21"/>
  <c r="U21"/>
  <c r="H21"/>
  <c r="AV21"/>
  <c r="BJ21"/>
  <c r="AW21"/>
  <c r="BK21"/>
  <c r="AI17"/>
  <c r="U17"/>
  <c r="AH17"/>
  <c r="H17"/>
  <c r="BJ17"/>
  <c r="AV17"/>
  <c r="AW17"/>
  <c r="BK17"/>
  <c r="BJ13"/>
  <c r="AV13"/>
  <c r="BK13"/>
  <c r="AI13"/>
  <c r="U13"/>
  <c r="H13"/>
  <c r="AW13"/>
  <c r="AH13"/>
  <c r="H9"/>
  <c r="AW9"/>
  <c r="BK9"/>
  <c r="AI9"/>
  <c r="U9"/>
  <c r="AH9"/>
  <c r="AV9"/>
  <c r="BJ9"/>
  <c r="H26"/>
  <c r="BJ26"/>
  <c r="AH26"/>
  <c r="BK26"/>
  <c r="AW26"/>
  <c r="AI26"/>
  <c r="AV26"/>
  <c r="U26"/>
  <c r="BJ22"/>
  <c r="AW22"/>
  <c r="H22"/>
  <c r="AV22"/>
  <c r="BK22"/>
  <c r="AI22"/>
  <c r="U22"/>
  <c r="AH22"/>
  <c r="AV18"/>
  <c r="AI18"/>
  <c r="U18"/>
  <c r="H18"/>
  <c r="BJ18"/>
  <c r="BK18"/>
  <c r="AW18"/>
  <c r="AH18"/>
  <c r="BK14"/>
  <c r="H14"/>
  <c r="AV14"/>
  <c r="BJ14"/>
  <c r="AW14"/>
  <c r="AI14"/>
  <c r="U14"/>
  <c r="AH14"/>
  <c r="H10"/>
  <c r="AW10"/>
  <c r="BJ10"/>
  <c r="BK10"/>
  <c r="AV10"/>
  <c r="AI10"/>
  <c r="U10"/>
  <c r="AH10"/>
  <c r="H7"/>
  <c r="AW7"/>
  <c r="AH7"/>
  <c r="AI7"/>
  <c r="U7"/>
  <c r="BK7"/>
  <c r="BJ7"/>
  <c r="AV7"/>
  <c r="H23"/>
  <c r="AH23"/>
  <c r="BJ23"/>
  <c r="AV23"/>
  <c r="BK23"/>
  <c r="AW23"/>
  <c r="AI23"/>
  <c r="U23"/>
  <c r="H19"/>
  <c r="AV19"/>
  <c r="BJ19"/>
  <c r="AI19"/>
  <c r="U19"/>
  <c r="AH19"/>
  <c r="AW19"/>
  <c r="BK19"/>
  <c r="H15"/>
  <c r="BK15"/>
  <c r="AW15"/>
  <c r="AH15"/>
  <c r="BJ15"/>
  <c r="AV15"/>
  <c r="AI15"/>
  <c r="U15"/>
  <c r="BK11"/>
  <c r="AW11"/>
  <c r="H11"/>
  <c r="K19"/>
  <c r="BJ11"/>
  <c r="AV11"/>
  <c r="AI11"/>
  <c r="U11"/>
  <c r="AH11"/>
  <c r="AY49" i="12"/>
  <c r="AM30" i="17"/>
  <c r="AM31"/>
  <c r="B44" i="7"/>
  <c r="AC13" i="17"/>
  <c r="E33" i="12"/>
  <c r="AS31" i="17"/>
  <c r="AS30"/>
  <c r="F47" i="7"/>
  <c r="G47"/>
  <c r="H47"/>
  <c r="I47"/>
  <c r="E47"/>
  <c r="E53" i="12"/>
  <c r="AW13" i="17"/>
  <c r="B64" i="7"/>
  <c r="AZ56" i="17"/>
  <c r="AZ58"/>
  <c r="B54" i="7"/>
  <c r="E43" i="12"/>
  <c r="AM13" i="17"/>
  <c r="AS56"/>
  <c r="AS58"/>
  <c r="AS16"/>
  <c r="AW30"/>
  <c r="AW31"/>
  <c r="I60" i="7"/>
  <c r="G60"/>
  <c r="E60"/>
  <c r="H60"/>
  <c r="F60"/>
  <c r="AY35" i="12"/>
  <c r="BQ34"/>
  <c r="BQ33"/>
  <c r="BH21"/>
  <c r="BH34"/>
  <c r="BH7"/>
  <c r="BH11"/>
  <c r="BH58"/>
  <c r="BH19"/>
  <c r="BH37"/>
  <c r="BH50"/>
  <c r="BH26"/>
  <c r="BH56"/>
  <c r="BH30"/>
  <c r="BH8"/>
  <c r="BH9"/>
  <c r="BH10"/>
  <c r="BH24"/>
  <c r="BH40"/>
  <c r="BH17"/>
  <c r="BH59"/>
  <c r="BQ36"/>
  <c r="BQ46"/>
  <c r="AY46"/>
  <c r="BH46"/>
  <c r="AY28"/>
  <c r="BQ20"/>
  <c r="BQ16"/>
  <c r="BH51"/>
  <c r="AY51"/>
  <c r="BQ27"/>
  <c r="AY27"/>
  <c r="BH27"/>
  <c r="AY23"/>
  <c r="BQ23"/>
  <c r="BH13"/>
  <c r="AY47"/>
  <c r="BH47"/>
  <c r="BH25"/>
  <c r="AY55"/>
  <c r="BQ43"/>
  <c r="BQ52"/>
  <c r="BH52"/>
  <c r="AY52"/>
  <c r="AY32"/>
  <c r="BQ32"/>
  <c r="AY22"/>
  <c r="BH18"/>
  <c r="AY61"/>
  <c r="BH45"/>
  <c r="BH41"/>
  <c r="BH29"/>
  <c r="BQ29"/>
  <c r="AY14"/>
  <c r="BQ31"/>
  <c r="AY60"/>
  <c r="AY30"/>
  <c r="BQ53"/>
  <c r="AY37"/>
  <c r="BH35"/>
  <c r="BH44"/>
  <c r="AY15"/>
  <c r="BQ40"/>
  <c r="BH53"/>
  <c r="BH48"/>
  <c r="AY57"/>
  <c r="AY17"/>
  <c r="AY58"/>
  <c r="AY53"/>
  <c r="AY9"/>
  <c r="AY48"/>
  <c r="AY12"/>
  <c r="AY54"/>
  <c r="AY39"/>
  <c r="AY59"/>
  <c r="AY7"/>
  <c r="AY38"/>
  <c r="AY34"/>
  <c r="AY50"/>
  <c r="AY26"/>
  <c r="AY8"/>
  <c r="AY24"/>
  <c r="AY10"/>
  <c r="AY21"/>
  <c r="BQ57"/>
  <c r="BQ9"/>
  <c r="BQ8"/>
  <c r="BQ21"/>
  <c r="BQ48"/>
  <c r="BQ12"/>
  <c r="BQ37"/>
  <c r="BQ56"/>
  <c r="BQ44"/>
  <c r="BQ39"/>
  <c r="BQ17"/>
  <c r="BQ38"/>
  <c r="BQ54"/>
  <c r="BQ26"/>
  <c r="BQ24"/>
  <c r="BQ10"/>
  <c r="BQ15"/>
  <c r="BQ30"/>
  <c r="BQ59"/>
  <c r="BQ7"/>
  <c r="AY33"/>
  <c r="BQ49"/>
  <c r="BH33"/>
  <c r="AY36"/>
  <c r="BH36"/>
  <c r="BQ28"/>
  <c r="BH28"/>
  <c r="AY20"/>
  <c r="BH20"/>
  <c r="AY16"/>
  <c r="BH16"/>
  <c r="BQ51"/>
  <c r="BH42"/>
  <c r="AY42"/>
  <c r="BQ42"/>
  <c r="BH23"/>
  <c r="BQ13"/>
  <c r="AY13"/>
  <c r="BQ47"/>
  <c r="BQ25"/>
  <c r="AY25"/>
  <c r="BQ55"/>
  <c r="BH55"/>
  <c r="AY43"/>
  <c r="BH43"/>
  <c r="BH32"/>
  <c r="BH22"/>
  <c r="BQ22"/>
  <c r="BQ18"/>
  <c r="AY18"/>
  <c r="BQ61"/>
  <c r="BH61"/>
  <c r="BQ45"/>
  <c r="AY45"/>
  <c r="AY41"/>
  <c r="BQ41"/>
  <c r="AY29"/>
  <c r="BQ14"/>
  <c r="BH14"/>
  <c r="AY31"/>
  <c r="BH31"/>
  <c r="BH60"/>
  <c r="BQ60"/>
  <c r="BQ50"/>
  <c r="BH54"/>
  <c r="BQ19"/>
  <c r="BH38"/>
  <c r="AY40"/>
  <c r="BH57"/>
  <c r="AY44"/>
  <c r="AY11"/>
  <c r="BH12"/>
  <c r="BH15"/>
  <c r="BH39"/>
  <c r="AY56"/>
  <c r="BQ11"/>
  <c r="AY19"/>
  <c r="BQ58"/>
  <c r="BQ35"/>
  <c r="AY19" i="17"/>
  <c r="AY35"/>
  <c r="AQ19"/>
  <c r="AQ35"/>
  <c r="BA16"/>
  <c r="BA56"/>
  <c r="BA58"/>
  <c r="E68" i="7"/>
  <c r="I68"/>
  <c r="H68"/>
  <c r="G68"/>
  <c r="F68"/>
  <c r="H26"/>
  <c r="F26"/>
  <c r="I26"/>
  <c r="E26"/>
  <c r="G26"/>
  <c r="S19" i="17"/>
  <c r="S35"/>
  <c r="O35"/>
  <c r="O19"/>
  <c r="F38" i="7"/>
  <c r="I38"/>
  <c r="H38"/>
  <c r="G38"/>
  <c r="E38"/>
  <c r="E40"/>
  <c r="H40"/>
  <c r="I40"/>
  <c r="F40"/>
  <c r="G40"/>
  <c r="AA19" i="17"/>
  <c r="AA35"/>
  <c r="E28" i="7"/>
  <c r="I28"/>
  <c r="F28"/>
  <c r="G28"/>
  <c r="H28"/>
  <c r="M56" i="17"/>
  <c r="M58"/>
  <c r="K16"/>
  <c r="K56"/>
  <c r="K58"/>
  <c r="AK19"/>
  <c r="AK35"/>
  <c r="E19"/>
  <c r="E35"/>
  <c r="G19"/>
  <c r="G35"/>
  <c r="I19"/>
  <c r="I35"/>
  <c r="X19"/>
  <c r="X35"/>
  <c r="W56"/>
  <c r="W58"/>
  <c r="Y56"/>
  <c r="Y58"/>
  <c r="K15" i="29"/>
  <c r="K23"/>
  <c r="K10"/>
  <c r="K22"/>
  <c r="K26"/>
  <c r="K21"/>
  <c r="K24"/>
  <c r="K18"/>
  <c r="K9"/>
  <c r="K17"/>
  <c r="K8"/>
  <c r="K12"/>
  <c r="K20"/>
  <c r="K7"/>
  <c r="K14"/>
  <c r="K13"/>
  <c r="K16"/>
  <c r="K11"/>
  <c r="K25"/>
  <c r="AJ11"/>
  <c r="AK11"/>
  <c r="BL11"/>
  <c r="BM11"/>
  <c r="AX15"/>
  <c r="AY15"/>
  <c r="AJ19"/>
  <c r="AK19"/>
  <c r="AX19"/>
  <c r="AY19"/>
  <c r="AX23"/>
  <c r="AY23"/>
  <c r="BL7"/>
  <c r="BM7"/>
  <c r="L21"/>
  <c r="L13"/>
  <c r="L22"/>
  <c r="L14"/>
  <c r="L7"/>
  <c r="N7"/>
  <c r="L25"/>
  <c r="L19"/>
  <c r="L11"/>
  <c r="L20"/>
  <c r="L12"/>
  <c r="L26"/>
  <c r="L17"/>
  <c r="L9"/>
  <c r="L18"/>
  <c r="L10"/>
  <c r="L23"/>
  <c r="L15"/>
  <c r="L24"/>
  <c r="L16"/>
  <c r="L8"/>
  <c r="AJ7"/>
  <c r="AK7"/>
  <c r="AX10"/>
  <c r="AY10"/>
  <c r="BL10"/>
  <c r="BM10"/>
  <c r="AJ14"/>
  <c r="AK14"/>
  <c r="BL14"/>
  <c r="BM14"/>
  <c r="BL18"/>
  <c r="BM18"/>
  <c r="BL26"/>
  <c r="BM26"/>
  <c r="AX9"/>
  <c r="AY9"/>
  <c r="AJ9"/>
  <c r="AK9"/>
  <c r="AJ13"/>
  <c r="AK13"/>
  <c r="BL13"/>
  <c r="BM13"/>
  <c r="BL17"/>
  <c r="BM17"/>
  <c r="AX21"/>
  <c r="AY21"/>
  <c r="AJ21"/>
  <c r="AK21"/>
  <c r="BL25"/>
  <c r="BM25"/>
  <c r="AJ25"/>
  <c r="AK25"/>
  <c r="AX8"/>
  <c r="AY8"/>
  <c r="AJ12"/>
  <c r="AK12"/>
  <c r="AX12"/>
  <c r="AY12"/>
  <c r="BL12"/>
  <c r="BM12"/>
  <c r="AX16"/>
  <c r="AY16"/>
  <c r="AJ20"/>
  <c r="AK20"/>
  <c r="AX20"/>
  <c r="AY20"/>
  <c r="BL20"/>
  <c r="BM20"/>
  <c r="AJ24"/>
  <c r="AK24"/>
  <c r="BL24"/>
  <c r="BM24"/>
  <c r="AX11"/>
  <c r="AY11"/>
  <c r="BL15"/>
  <c r="BM15"/>
  <c r="AJ15"/>
  <c r="AK15"/>
  <c r="BL19"/>
  <c r="BM19"/>
  <c r="BL23"/>
  <c r="BM23"/>
  <c r="AJ23"/>
  <c r="AK23"/>
  <c r="AX7"/>
  <c r="AY7"/>
  <c r="AJ10"/>
  <c r="AK10"/>
  <c r="AX14"/>
  <c r="AY14"/>
  <c r="AJ18"/>
  <c r="AK18"/>
  <c r="AX18"/>
  <c r="AY18"/>
  <c r="AJ22"/>
  <c r="AK22"/>
  <c r="AX22"/>
  <c r="AY22"/>
  <c r="BL22"/>
  <c r="BM22"/>
  <c r="AX26"/>
  <c r="AY26"/>
  <c r="AJ26"/>
  <c r="AK26"/>
  <c r="BL9"/>
  <c r="BM9"/>
  <c r="AX13"/>
  <c r="AY13"/>
  <c r="AX17"/>
  <c r="AY17"/>
  <c r="AJ17"/>
  <c r="AK17"/>
  <c r="BL21"/>
  <c r="BM21"/>
  <c r="AX25"/>
  <c r="AY25"/>
  <c r="AJ8"/>
  <c r="AK8"/>
  <c r="BL8"/>
  <c r="BM8"/>
  <c r="AJ16"/>
  <c r="AK16"/>
  <c r="BL16"/>
  <c r="BM16"/>
  <c r="AX24"/>
  <c r="AY24"/>
  <c r="AZ24"/>
  <c r="I44" i="7"/>
  <c r="F44"/>
  <c r="E44"/>
  <c r="H44"/>
  <c r="G44"/>
  <c r="AC16" i="17"/>
  <c r="AC56"/>
  <c r="AC58"/>
  <c r="AZ35"/>
  <c r="AZ19"/>
  <c r="AW56"/>
  <c r="AW58"/>
  <c r="AW16"/>
  <c r="F64" i="7"/>
  <c r="E64"/>
  <c r="G64"/>
  <c r="H64"/>
  <c r="I64"/>
  <c r="AS19" i="17"/>
  <c r="AS35"/>
  <c r="AM16"/>
  <c r="AM56"/>
  <c r="AM58"/>
  <c r="E54" i="7"/>
  <c r="H54"/>
  <c r="G54"/>
  <c r="F54"/>
  <c r="I54"/>
  <c r="L60"/>
  <c r="BR10" i="12"/>
  <c r="BR64"/>
  <c r="BR29"/>
  <c r="BR63"/>
  <c r="BR59"/>
  <c r="BR23"/>
  <c r="BR38"/>
  <c r="BR48"/>
  <c r="BR61"/>
  <c r="BR34"/>
  <c r="BR31"/>
  <c r="BR69"/>
  <c r="BR65"/>
  <c r="BR52"/>
  <c r="BR13"/>
  <c r="BR12"/>
  <c r="BR53"/>
  <c r="BR55"/>
  <c r="BR62"/>
  <c r="BR42"/>
  <c r="BR24"/>
  <c r="BR56"/>
  <c r="BR58"/>
  <c r="BR67"/>
  <c r="BR36"/>
  <c r="BR35"/>
  <c r="BR8"/>
  <c r="BR39"/>
  <c r="BR20"/>
  <c r="BR11"/>
  <c r="BR33"/>
  <c r="BR27"/>
  <c r="BR44"/>
  <c r="BR37"/>
  <c r="BR45"/>
  <c r="BR54"/>
  <c r="BR22"/>
  <c r="BR50"/>
  <c r="BR18"/>
  <c r="BR49"/>
  <c r="BR19"/>
  <c r="BR30"/>
  <c r="BR68"/>
  <c r="BR7"/>
  <c r="BT7"/>
  <c r="BR14"/>
  <c r="BR17"/>
  <c r="BR57"/>
  <c r="BR46"/>
  <c r="BR16"/>
  <c r="BR26"/>
  <c r="BR15"/>
  <c r="BR60"/>
  <c r="BR40"/>
  <c r="BR66"/>
  <c r="BR28"/>
  <c r="BR47"/>
  <c r="BR32"/>
  <c r="BR9"/>
  <c r="BR43"/>
  <c r="BR25"/>
  <c r="BR41"/>
  <c r="BR21"/>
  <c r="BR51"/>
  <c r="AZ56"/>
  <c r="AZ16"/>
  <c r="AZ45"/>
  <c r="AZ46"/>
  <c r="AZ42"/>
  <c r="AZ10"/>
  <c r="AZ59"/>
  <c r="AZ62"/>
  <c r="AZ47"/>
  <c r="AZ58"/>
  <c r="AZ11"/>
  <c r="AZ51"/>
  <c r="AZ57"/>
  <c r="AZ50"/>
  <c r="AZ65"/>
  <c r="AZ40"/>
  <c r="AZ41"/>
  <c r="AZ8"/>
  <c r="AZ27"/>
  <c r="AZ34"/>
  <c r="AZ21"/>
  <c r="AZ25"/>
  <c r="AZ66"/>
  <c r="AZ7"/>
  <c r="BB7"/>
  <c r="AZ39"/>
  <c r="AZ18"/>
  <c r="AZ14"/>
  <c r="AZ64"/>
  <c r="AZ13"/>
  <c r="AZ30"/>
  <c r="AZ23"/>
  <c r="AZ12"/>
  <c r="AZ20"/>
  <c r="AZ33"/>
  <c r="AZ37"/>
  <c r="AZ31"/>
  <c r="AZ49"/>
  <c r="AZ53"/>
  <c r="AZ17"/>
  <c r="AZ48"/>
  <c r="AZ28"/>
  <c r="AZ22"/>
  <c r="AZ67"/>
  <c r="AZ69"/>
  <c r="AZ61"/>
  <c r="AZ44"/>
  <c r="AZ54"/>
  <c r="AZ36"/>
  <c r="AZ38"/>
  <c r="AZ9"/>
  <c r="AZ35"/>
  <c r="AZ32"/>
  <c r="AZ63"/>
  <c r="AZ52"/>
  <c r="AZ26"/>
  <c r="AZ15"/>
  <c r="AZ24"/>
  <c r="AZ29"/>
  <c r="AZ19"/>
  <c r="AZ55"/>
  <c r="AZ43"/>
  <c r="AZ68"/>
  <c r="AZ60"/>
  <c r="BI44"/>
  <c r="BI48"/>
  <c r="BI13"/>
  <c r="BI60"/>
  <c r="BI26"/>
  <c r="BI59"/>
  <c r="BI28"/>
  <c r="BI33"/>
  <c r="BI57"/>
  <c r="BI43"/>
  <c r="BI62"/>
  <c r="BI15"/>
  <c r="BI54"/>
  <c r="BI7"/>
  <c r="BK7"/>
  <c r="BI39"/>
  <c r="BI58"/>
  <c r="BI10"/>
  <c r="BI36"/>
  <c r="BI17"/>
  <c r="BI42"/>
  <c r="BI20"/>
  <c r="BI51"/>
  <c r="BI68"/>
  <c r="BI32"/>
  <c r="BI12"/>
  <c r="BI8"/>
  <c r="BI61"/>
  <c r="BI18"/>
  <c r="BI27"/>
  <c r="BI21"/>
  <c r="BI47"/>
  <c r="BI41"/>
  <c r="BI50"/>
  <c r="BI9"/>
  <c r="BI25"/>
  <c r="BI45"/>
  <c r="BI53"/>
  <c r="BI37"/>
  <c r="BI52"/>
  <c r="BI66"/>
  <c r="BI22"/>
  <c r="BI31"/>
  <c r="BI24"/>
  <c r="BI65"/>
  <c r="BI38"/>
  <c r="BI23"/>
  <c r="BI11"/>
  <c r="BI56"/>
  <c r="BI69"/>
  <c r="BI35"/>
  <c r="BI46"/>
  <c r="BI49"/>
  <c r="BI63"/>
  <c r="BI14"/>
  <c r="BI55"/>
  <c r="BI67"/>
  <c r="BI16"/>
  <c r="BI40"/>
  <c r="BI19"/>
  <c r="BI34"/>
  <c r="BI64"/>
  <c r="BI30"/>
  <c r="BI29"/>
  <c r="Y19" i="17"/>
  <c r="Y35"/>
  <c r="K19"/>
  <c r="K35"/>
  <c r="W35"/>
  <c r="W19"/>
  <c r="M19"/>
  <c r="M35"/>
  <c r="BA19"/>
  <c r="BA35"/>
  <c r="BN16" i="29"/>
  <c r="AL16"/>
  <c r="AZ15"/>
  <c r="AZ7"/>
  <c r="BN8"/>
  <c r="AL8"/>
  <c r="BN21"/>
  <c r="AZ13"/>
  <c r="BN9"/>
  <c r="AL26"/>
  <c r="AZ26"/>
  <c r="AZ22"/>
  <c r="AL22"/>
  <c r="AZ18"/>
  <c r="AL18"/>
  <c r="AZ14"/>
  <c r="BN19"/>
  <c r="AL15"/>
  <c r="AZ11"/>
  <c r="BN24"/>
  <c r="AL24"/>
  <c r="BN20"/>
  <c r="AZ16"/>
  <c r="BN12"/>
  <c r="AZ12"/>
  <c r="AZ8"/>
  <c r="AL25"/>
  <c r="AL21"/>
  <c r="AL13"/>
  <c r="BN26"/>
  <c r="BN18"/>
  <c r="BN14"/>
  <c r="AL7"/>
  <c r="AL19"/>
  <c r="BN11"/>
  <c r="AZ25"/>
  <c r="AL17"/>
  <c r="AZ17"/>
  <c r="BN22"/>
  <c r="AL10"/>
  <c r="AL23"/>
  <c r="BN23"/>
  <c r="BN15"/>
  <c r="AZ20"/>
  <c r="AL20"/>
  <c r="AL12"/>
  <c r="BN25"/>
  <c r="AZ21"/>
  <c r="BN17"/>
  <c r="BN13"/>
  <c r="AL9"/>
  <c r="AZ9"/>
  <c r="AL14"/>
  <c r="BN10"/>
  <c r="AZ10"/>
  <c r="BN7"/>
  <c r="AZ23"/>
  <c r="AZ19"/>
  <c r="AL11"/>
  <c r="BA19"/>
  <c r="BC19"/>
  <c r="BA25"/>
  <c r="BC25"/>
  <c r="BA15"/>
  <c r="BC15"/>
  <c r="BA14"/>
  <c r="BC14"/>
  <c r="BA23"/>
  <c r="BC23"/>
  <c r="BA9"/>
  <c r="BC9"/>
  <c r="BA10"/>
  <c r="BC10"/>
  <c r="BA21"/>
  <c r="N8"/>
  <c r="N24"/>
  <c r="N23"/>
  <c r="N18"/>
  <c r="N17"/>
  <c r="N12"/>
  <c r="N11"/>
  <c r="N25"/>
  <c r="N14"/>
  <c r="N13"/>
  <c r="BA22"/>
  <c r="BC22"/>
  <c r="BA16"/>
  <c r="BC16"/>
  <c r="BA17"/>
  <c r="BC17"/>
  <c r="BA26"/>
  <c r="BC26"/>
  <c r="BA20"/>
  <c r="BC20"/>
  <c r="AM25"/>
  <c r="AO25"/>
  <c r="AM14"/>
  <c r="AO14"/>
  <c r="AM17"/>
  <c r="AO17"/>
  <c r="AM21"/>
  <c r="AO21"/>
  <c r="AM16"/>
  <c r="AO16"/>
  <c r="AM19"/>
  <c r="AO19"/>
  <c r="AM24"/>
  <c r="AM10"/>
  <c r="AM7"/>
  <c r="AO7"/>
  <c r="AM12"/>
  <c r="AO12"/>
  <c r="BO24"/>
  <c r="BQ24"/>
  <c r="BO20"/>
  <c r="BQ20"/>
  <c r="BO21"/>
  <c r="BQ21"/>
  <c r="BO22"/>
  <c r="BQ22"/>
  <c r="BO13"/>
  <c r="BQ13"/>
  <c r="BO19"/>
  <c r="BQ19"/>
  <c r="BO16"/>
  <c r="BQ16"/>
  <c r="BO17"/>
  <c r="BQ17"/>
  <c r="BO18"/>
  <c r="BQ18"/>
  <c r="BO11"/>
  <c r="BQ11"/>
  <c r="N16"/>
  <c r="N15"/>
  <c r="N10"/>
  <c r="N9"/>
  <c r="N26"/>
  <c r="N20"/>
  <c r="N19"/>
  <c r="Q7"/>
  <c r="P7"/>
  <c r="N22"/>
  <c r="N21"/>
  <c r="BA12"/>
  <c r="BC12"/>
  <c r="BA11"/>
  <c r="BC11"/>
  <c r="BA24"/>
  <c r="BC24"/>
  <c r="BA8"/>
  <c r="BC8"/>
  <c r="BA7"/>
  <c r="BC7"/>
  <c r="BA13"/>
  <c r="BC13"/>
  <c r="AM18"/>
  <c r="AO18"/>
  <c r="AM22"/>
  <c r="AO22"/>
  <c r="AM11"/>
  <c r="AO11"/>
  <c r="AM20"/>
  <c r="AO20"/>
  <c r="AM26"/>
  <c r="AO26"/>
  <c r="AM15"/>
  <c r="AO15"/>
  <c r="AM13"/>
  <c r="AM8"/>
  <c r="AM23"/>
  <c r="AO23"/>
  <c r="BO15"/>
  <c r="BQ15"/>
  <c r="BO8"/>
  <c r="BQ8"/>
  <c r="BO9"/>
  <c r="BQ9"/>
  <c r="BO14"/>
  <c r="BQ14"/>
  <c r="BO25"/>
  <c r="BQ25"/>
  <c r="BO23"/>
  <c r="BQ23"/>
  <c r="BO26"/>
  <c r="BQ26"/>
  <c r="BO7"/>
  <c r="BQ7"/>
  <c r="BF19"/>
  <c r="BG19"/>
  <c r="BE19"/>
  <c r="S17" i="30"/>
  <c r="Q17"/>
  <c r="BG15" i="29"/>
  <c r="BE15"/>
  <c r="S13" i="30"/>
  <c r="BF15" i="29"/>
  <c r="Q13" i="30"/>
  <c r="BF10" i="29"/>
  <c r="Q8" i="30"/>
  <c r="BE10" i="29"/>
  <c r="S8" i="30"/>
  <c r="BG10" i="29"/>
  <c r="AC19" i="17"/>
  <c r="AC35"/>
  <c r="N60" i="7"/>
  <c r="AW19" i="17"/>
  <c r="AW35"/>
  <c r="O21" i="7"/>
  <c r="O42"/>
  <c r="O36"/>
  <c r="O44"/>
  <c r="O38"/>
  <c r="O71"/>
  <c r="O72"/>
  <c r="O32"/>
  <c r="O39"/>
  <c r="O31"/>
  <c r="O41"/>
  <c r="O20"/>
  <c r="O66"/>
  <c r="O52"/>
  <c r="O63"/>
  <c r="O56"/>
  <c r="O25"/>
  <c r="O29"/>
  <c r="O34"/>
  <c r="O22"/>
  <c r="O60"/>
  <c r="O19"/>
  <c r="O49"/>
  <c r="O47"/>
  <c r="O65"/>
  <c r="O45"/>
  <c r="O57"/>
  <c r="O43"/>
  <c r="O50"/>
  <c r="O67"/>
  <c r="O51"/>
  <c r="O24"/>
  <c r="O62"/>
  <c r="O40"/>
  <c r="O64"/>
  <c r="O27"/>
  <c r="O33"/>
  <c r="O48"/>
  <c r="O18"/>
  <c r="O53"/>
  <c r="O61"/>
  <c r="O68"/>
  <c r="O58"/>
  <c r="O69"/>
  <c r="O35"/>
  <c r="O30"/>
  <c r="O23"/>
  <c r="O54"/>
  <c r="O37"/>
  <c r="O70"/>
  <c r="O46"/>
  <c r="O26"/>
  <c r="O59"/>
  <c r="O55"/>
  <c r="O28"/>
  <c r="M42"/>
  <c r="M25"/>
  <c r="M50"/>
  <c r="M27"/>
  <c r="M62"/>
  <c r="M51"/>
  <c r="M37"/>
  <c r="M63"/>
  <c r="M40"/>
  <c r="M35"/>
  <c r="M71"/>
  <c r="M56"/>
  <c r="M54"/>
  <c r="M59"/>
  <c r="M22"/>
  <c r="M49"/>
  <c r="M29"/>
  <c r="M28"/>
  <c r="M69"/>
  <c r="M21"/>
  <c r="M48"/>
  <c r="M53"/>
  <c r="M34"/>
  <c r="M24"/>
  <c r="M66"/>
  <c r="M47"/>
  <c r="M36"/>
  <c r="M38"/>
  <c r="M65"/>
  <c r="M33"/>
  <c r="M58"/>
  <c r="M61"/>
  <c r="M45"/>
  <c r="M23"/>
  <c r="M70"/>
  <c r="M57"/>
  <c r="M20"/>
  <c r="M55"/>
  <c r="M31"/>
  <c r="M64"/>
  <c r="M39"/>
  <c r="M32"/>
  <c r="M44"/>
  <c r="M18"/>
  <c r="M67"/>
  <c r="M30"/>
  <c r="M68"/>
  <c r="M46"/>
  <c r="M72"/>
  <c r="M26"/>
  <c r="M60"/>
  <c r="M19"/>
  <c r="M41"/>
  <c r="M52"/>
  <c r="M43"/>
  <c r="K36"/>
  <c r="K25"/>
  <c r="K63"/>
  <c r="K45"/>
  <c r="K72"/>
  <c r="K33"/>
  <c r="K59"/>
  <c r="K49"/>
  <c r="K26"/>
  <c r="K21"/>
  <c r="K30"/>
  <c r="K67"/>
  <c r="K35"/>
  <c r="K61"/>
  <c r="K22"/>
  <c r="K54"/>
  <c r="K27"/>
  <c r="K69"/>
  <c r="K47"/>
  <c r="K31"/>
  <c r="K18"/>
  <c r="K51"/>
  <c r="K62"/>
  <c r="K41"/>
  <c r="K29"/>
  <c r="K24"/>
  <c r="K32"/>
  <c r="K60"/>
  <c r="K40"/>
  <c r="K19"/>
  <c r="K23"/>
  <c r="K56"/>
  <c r="K57"/>
  <c r="K46"/>
  <c r="K37"/>
  <c r="K44"/>
  <c r="K71"/>
  <c r="K58"/>
  <c r="K42"/>
  <c r="K52"/>
  <c r="K28"/>
  <c r="K66"/>
  <c r="K50"/>
  <c r="K55"/>
  <c r="K38"/>
  <c r="K68"/>
  <c r="K34"/>
  <c r="K48"/>
  <c r="K70"/>
  <c r="K53"/>
  <c r="K20"/>
  <c r="K65"/>
  <c r="K39"/>
  <c r="K64"/>
  <c r="K43"/>
  <c r="L64"/>
  <c r="L65"/>
  <c r="L62"/>
  <c r="L55"/>
  <c r="L53"/>
  <c r="L69"/>
  <c r="L47"/>
  <c r="L21"/>
  <c r="L42"/>
  <c r="L67"/>
  <c r="L59"/>
  <c r="L48"/>
  <c r="L44"/>
  <c r="L52"/>
  <c r="L36"/>
  <c r="L46"/>
  <c r="L45"/>
  <c r="L33"/>
  <c r="L20"/>
  <c r="L26"/>
  <c r="L38"/>
  <c r="L61"/>
  <c r="L31"/>
  <c r="L70"/>
  <c r="L35"/>
  <c r="L24"/>
  <c r="L43"/>
  <c r="L41"/>
  <c r="L50"/>
  <c r="L56"/>
  <c r="L25"/>
  <c r="L19"/>
  <c r="L30"/>
  <c r="L63"/>
  <c r="L51"/>
  <c r="L29"/>
  <c r="L37"/>
  <c r="L23"/>
  <c r="L32"/>
  <c r="L28"/>
  <c r="L72"/>
  <c r="L18"/>
  <c r="L34"/>
  <c r="L57"/>
  <c r="L49"/>
  <c r="L22"/>
  <c r="L58"/>
  <c r="L39"/>
  <c r="L27"/>
  <c r="L68"/>
  <c r="L71"/>
  <c r="L40"/>
  <c r="L54"/>
  <c r="L66"/>
  <c r="N72"/>
  <c r="N27"/>
  <c r="N20"/>
  <c r="N30"/>
  <c r="N45"/>
  <c r="N39"/>
  <c r="N29"/>
  <c r="N33"/>
  <c r="N26"/>
  <c r="N38"/>
  <c r="N62"/>
  <c r="N35"/>
  <c r="N28"/>
  <c r="N52"/>
  <c r="N71"/>
  <c r="N59"/>
  <c r="N53"/>
  <c r="N22"/>
  <c r="N23"/>
  <c r="N25"/>
  <c r="N46"/>
  <c r="N70"/>
  <c r="N40"/>
  <c r="N58"/>
  <c r="N61"/>
  <c r="N43"/>
  <c r="N57"/>
  <c r="N69"/>
  <c r="N18"/>
  <c r="N42"/>
  <c r="N36"/>
  <c r="N24"/>
  <c r="N34"/>
  <c r="N54"/>
  <c r="N48"/>
  <c r="N50"/>
  <c r="N44"/>
  <c r="N49"/>
  <c r="N68"/>
  <c r="N64"/>
  <c r="N66"/>
  <c r="N21"/>
  <c r="N67"/>
  <c r="N31"/>
  <c r="N65"/>
  <c r="N51"/>
  <c r="N55"/>
  <c r="N19"/>
  <c r="N41"/>
  <c r="N56"/>
  <c r="N47"/>
  <c r="N63"/>
  <c r="N37"/>
  <c r="N32"/>
  <c r="AM35" i="17"/>
  <c r="AM19"/>
  <c r="BK30" i="12"/>
  <c r="BK34"/>
  <c r="BK40"/>
  <c r="BK67"/>
  <c r="BJ67"/>
  <c r="BK14"/>
  <c r="BK49"/>
  <c r="BK35"/>
  <c r="BK56"/>
  <c r="BK23"/>
  <c r="BK65"/>
  <c r="BJ65"/>
  <c r="BK31"/>
  <c r="BK66"/>
  <c r="BJ66"/>
  <c r="BK37"/>
  <c r="BK45"/>
  <c r="BK9"/>
  <c r="BK41"/>
  <c r="BK21"/>
  <c r="BK18"/>
  <c r="BK8"/>
  <c r="BK32"/>
  <c r="BK51"/>
  <c r="BK42"/>
  <c r="BK36"/>
  <c r="BK58"/>
  <c r="BN7"/>
  <c r="R4" i="15"/>
  <c r="BM7" i="12"/>
  <c r="Q4" i="15"/>
  <c r="O4"/>
  <c r="BK15" i="12"/>
  <c r="BK43"/>
  <c r="BK33"/>
  <c r="BK59"/>
  <c r="BK60"/>
  <c r="BK48"/>
  <c r="BB60"/>
  <c r="BB43"/>
  <c r="BB19"/>
  <c r="BB24"/>
  <c r="BB26"/>
  <c r="BB63"/>
  <c r="BA63"/>
  <c r="BB35"/>
  <c r="BB38"/>
  <c r="BB54"/>
  <c r="BB61"/>
  <c r="BA67"/>
  <c r="BB67"/>
  <c r="BB28"/>
  <c r="BB17"/>
  <c r="BB49"/>
  <c r="BB37"/>
  <c r="BB20"/>
  <c r="BB23"/>
  <c r="BB13"/>
  <c r="BB14"/>
  <c r="BB39"/>
  <c r="BB66"/>
  <c r="BA66"/>
  <c r="BB21"/>
  <c r="BB27"/>
  <c r="BB41"/>
  <c r="BB65"/>
  <c r="BA65"/>
  <c r="BB57"/>
  <c r="BB11"/>
  <c r="BB47"/>
  <c r="BB59"/>
  <c r="BB42"/>
  <c r="BB45"/>
  <c r="BB56"/>
  <c r="BT21"/>
  <c r="BT25"/>
  <c r="BT9"/>
  <c r="BT47"/>
  <c r="BT66"/>
  <c r="BS66"/>
  <c r="BT60"/>
  <c r="BT26"/>
  <c r="BT46"/>
  <c r="BT17"/>
  <c r="BW7"/>
  <c r="W4" i="15"/>
  <c r="T4"/>
  <c r="BV7" i="12"/>
  <c r="V4" i="15"/>
  <c r="BT30" i="12"/>
  <c r="BT49"/>
  <c r="BT50"/>
  <c r="BT54"/>
  <c r="BT37"/>
  <c r="BT27"/>
  <c r="BT11"/>
  <c r="BT39"/>
  <c r="BT35"/>
  <c r="BT67"/>
  <c r="BS67"/>
  <c r="BT56"/>
  <c r="BT42"/>
  <c r="BT55"/>
  <c r="BT12"/>
  <c r="BT52"/>
  <c r="BT69"/>
  <c r="BS69"/>
  <c r="BT34"/>
  <c r="BT48"/>
  <c r="BT23"/>
  <c r="BS63"/>
  <c r="BT63"/>
  <c r="BT64"/>
  <c r="BS64"/>
  <c r="BK29"/>
  <c r="BJ64"/>
  <c r="BK64"/>
  <c r="BK19"/>
  <c r="BK16"/>
  <c r="BK55"/>
  <c r="BJ63"/>
  <c r="BK63"/>
  <c r="BK46"/>
  <c r="BK69"/>
  <c r="BJ69"/>
  <c r="BK11"/>
  <c r="BK38"/>
  <c r="BK24"/>
  <c r="BK22"/>
  <c r="BK52"/>
  <c r="BK53"/>
  <c r="BK25"/>
  <c r="BK50"/>
  <c r="BK47"/>
  <c r="BK27"/>
  <c r="BK61"/>
  <c r="BK12"/>
  <c r="BK68"/>
  <c r="BJ68"/>
  <c r="BK20"/>
  <c r="BK17"/>
  <c r="BK10"/>
  <c r="BK39"/>
  <c r="BK54"/>
  <c r="BJ62"/>
  <c r="BK62"/>
  <c r="BK57"/>
  <c r="BK28"/>
  <c r="BK26"/>
  <c r="BK13"/>
  <c r="BK44"/>
  <c r="BB68"/>
  <c r="BA68"/>
  <c r="BB55"/>
  <c r="BB29"/>
  <c r="BB15"/>
  <c r="BB52"/>
  <c r="BB32"/>
  <c r="BB9"/>
  <c r="BB36"/>
  <c r="BB44"/>
  <c r="BA69"/>
  <c r="BB69"/>
  <c r="BB22"/>
  <c r="BB48"/>
  <c r="BB53"/>
  <c r="BB31"/>
  <c r="BB33"/>
  <c r="BB12"/>
  <c r="BB30"/>
  <c r="BA64"/>
  <c r="BB64"/>
  <c r="BB18"/>
  <c r="BE7"/>
  <c r="M4" i="15"/>
  <c r="BD7" i="12"/>
  <c r="L4" i="15"/>
  <c r="J4"/>
  <c r="BB25" i="12"/>
  <c r="BB34"/>
  <c r="BB8"/>
  <c r="BB40"/>
  <c r="BB50"/>
  <c r="BB51"/>
  <c r="BB58"/>
  <c r="BA62"/>
  <c r="BB62"/>
  <c r="BB10"/>
  <c r="BB46"/>
  <c r="BB16"/>
  <c r="BT51"/>
  <c r="BT41"/>
  <c r="BT43"/>
  <c r="BT32"/>
  <c r="BT28"/>
  <c r="BT40"/>
  <c r="BT15"/>
  <c r="BT16"/>
  <c r="BT57"/>
  <c r="BT14"/>
  <c r="BS68"/>
  <c r="BT68"/>
  <c r="BT19"/>
  <c r="BT18"/>
  <c r="BT22"/>
  <c r="BT45"/>
  <c r="BT44"/>
  <c r="BT33"/>
  <c r="BT20"/>
  <c r="BT8"/>
  <c r="BT36"/>
  <c r="BT58"/>
  <c r="BT24"/>
  <c r="BS62"/>
  <c r="BT62"/>
  <c r="BT53"/>
  <c r="BT13"/>
  <c r="BS65"/>
  <c r="BT65"/>
  <c r="BT31"/>
  <c r="BT61"/>
  <c r="BT38"/>
  <c r="BT59"/>
  <c r="BT29"/>
  <c r="BT10"/>
  <c r="BA18" i="29"/>
  <c r="BC18"/>
  <c r="BO12"/>
  <c r="BQ12"/>
  <c r="BO10"/>
  <c r="BQ10"/>
  <c r="AM9"/>
  <c r="BT26"/>
  <c r="BU26"/>
  <c r="X24" i="30"/>
  <c r="BS26" i="29"/>
  <c r="Z24" i="30"/>
  <c r="BU25" i="29"/>
  <c r="BT25"/>
  <c r="AA23" i="30"/>
  <c r="BS25" i="29"/>
  <c r="Z23" i="30"/>
  <c r="X23"/>
  <c r="BS9" i="29"/>
  <c r="Z7" i="30"/>
  <c r="X7"/>
  <c r="BT9" i="29"/>
  <c r="BU9"/>
  <c r="BS15"/>
  <c r="Z13" i="30"/>
  <c r="X13"/>
  <c r="BT15" i="29"/>
  <c r="BU15"/>
  <c r="AO8"/>
  <c r="J13" i="30"/>
  <c r="AS15" i="29"/>
  <c r="AQ15"/>
  <c r="L13" i="30"/>
  <c r="AR15" i="29"/>
  <c r="M13" i="30"/>
  <c r="AS20" i="29"/>
  <c r="J18" i="30"/>
  <c r="AR20" i="29"/>
  <c r="M18" i="30"/>
  <c r="AQ20" i="29"/>
  <c r="L18" i="30"/>
  <c r="AS22" i="29"/>
  <c r="J20" i="30"/>
  <c r="AR22" i="29"/>
  <c r="AQ22"/>
  <c r="L20" i="30"/>
  <c r="BF13" i="29"/>
  <c r="BE13"/>
  <c r="S11" i="30"/>
  <c r="BG13" i="29"/>
  <c r="Q11" i="30"/>
  <c r="Q6"/>
  <c r="BE8" i="29"/>
  <c r="S6" i="30"/>
  <c r="BF8" i="29"/>
  <c r="BG8"/>
  <c r="BE11"/>
  <c r="S9" i="30"/>
  <c r="BF11" i="29"/>
  <c r="BG11"/>
  <c r="Q9" i="30"/>
  <c r="Q19" i="29"/>
  <c r="P19"/>
  <c r="Q20"/>
  <c r="P20"/>
  <c r="Q26"/>
  <c r="P26"/>
  <c r="Q9"/>
  <c r="P9"/>
  <c r="Q10"/>
  <c r="M10"/>
  <c r="P10"/>
  <c r="P15"/>
  <c r="Q15"/>
  <c r="Q16"/>
  <c r="P16"/>
  <c r="BT18"/>
  <c r="X16" i="30"/>
  <c r="BS18" i="29"/>
  <c r="Z16" i="30"/>
  <c r="BU18" i="29"/>
  <c r="BU16"/>
  <c r="BS16"/>
  <c r="Z14" i="30"/>
  <c r="BT16" i="29"/>
  <c r="X14" i="30"/>
  <c r="BU13" i="29"/>
  <c r="X11" i="30"/>
  <c r="BS13" i="29"/>
  <c r="Z11" i="30"/>
  <c r="BT13" i="29"/>
  <c r="AA11" i="30"/>
  <c r="BU21" i="29"/>
  <c r="BT21"/>
  <c r="BS21"/>
  <c r="Z19" i="30"/>
  <c r="X19"/>
  <c r="BT24" i="29"/>
  <c r="BU24"/>
  <c r="X22" i="30"/>
  <c r="BS24" i="29"/>
  <c r="Z22" i="30"/>
  <c r="AQ7" i="29"/>
  <c r="L5" i="30"/>
  <c r="J5"/>
  <c r="AS7" i="29"/>
  <c r="AR7"/>
  <c r="M5" i="30"/>
  <c r="AO24" i="29"/>
  <c r="AS16"/>
  <c r="J14" i="30"/>
  <c r="AR16" i="29"/>
  <c r="AQ16"/>
  <c r="L14" i="30"/>
  <c r="AS17" i="29"/>
  <c r="J15" i="30"/>
  <c r="AR17" i="29"/>
  <c r="AQ17"/>
  <c r="L15" i="30"/>
  <c r="AS25" i="29"/>
  <c r="J23" i="30"/>
  <c r="AR25" i="29"/>
  <c r="AQ25"/>
  <c r="L23" i="30"/>
  <c r="BE26" i="29"/>
  <c r="S24" i="30"/>
  <c r="BF26" i="29"/>
  <c r="BG26"/>
  <c r="Q24" i="30"/>
  <c r="BF16" i="29"/>
  <c r="BE16"/>
  <c r="S14" i="30"/>
  <c r="BG16" i="29"/>
  <c r="Q14" i="30"/>
  <c r="BC21" i="29"/>
  <c r="BF9"/>
  <c r="BB10"/>
  <c r="BE9"/>
  <c r="S7" i="30"/>
  <c r="Q7"/>
  <c r="BG9" i="29"/>
  <c r="BF23"/>
  <c r="BE23"/>
  <c r="S21" i="30"/>
  <c r="BG23" i="29"/>
  <c r="Q21" i="30"/>
  <c r="X5"/>
  <c r="BS7" i="29"/>
  <c r="Z5" i="30"/>
  <c r="BT7" i="29"/>
  <c r="AA5" i="30"/>
  <c r="BU7" i="29"/>
  <c r="BS23"/>
  <c r="Z21" i="30"/>
  <c r="BT23" i="29"/>
  <c r="BU23"/>
  <c r="X21" i="30"/>
  <c r="BU14" i="29"/>
  <c r="BS14"/>
  <c r="Z12" i="30"/>
  <c r="BT14" i="29"/>
  <c r="AA12" i="30"/>
  <c r="X12"/>
  <c r="BU8" i="29"/>
  <c r="BS8"/>
  <c r="Z6" i="30"/>
  <c r="BT8" i="29"/>
  <c r="X6" i="30"/>
  <c r="J21"/>
  <c r="AQ23" i="29"/>
  <c r="L21" i="30"/>
  <c r="AS23" i="29"/>
  <c r="AR23"/>
  <c r="AO13"/>
  <c r="AS26"/>
  <c r="J24" i="30"/>
  <c r="AR26" i="29"/>
  <c r="M24" i="30"/>
  <c r="AQ26" i="29"/>
  <c r="L24" i="30"/>
  <c r="J9"/>
  <c r="AS11" i="29"/>
  <c r="AQ11"/>
  <c r="L9" i="30"/>
  <c r="AR11" i="29"/>
  <c r="J16" i="30"/>
  <c r="AS18" i="29"/>
  <c r="AQ18"/>
  <c r="L16" i="30"/>
  <c r="AR18" i="29"/>
  <c r="M16" i="30"/>
  <c r="BF7" i="29"/>
  <c r="T5" i="30"/>
  <c r="BE7" i="29"/>
  <c r="S5" i="30"/>
  <c r="Q5"/>
  <c r="BG7" i="29"/>
  <c r="BF24"/>
  <c r="BE24"/>
  <c r="S22" i="30"/>
  <c r="Q22"/>
  <c r="BG24" i="29"/>
  <c r="BF12"/>
  <c r="BE12"/>
  <c r="S10" i="30"/>
  <c r="BG12" i="29"/>
  <c r="Q10" i="30"/>
  <c r="P21" i="29"/>
  <c r="Q21"/>
  <c r="Q22"/>
  <c r="P22"/>
  <c r="BS11"/>
  <c r="Z9" i="30"/>
  <c r="BU11" i="29"/>
  <c r="BT11"/>
  <c r="X9" i="30"/>
  <c r="BS17" i="29"/>
  <c r="Z15" i="30"/>
  <c r="X15"/>
  <c r="BT17" i="29"/>
  <c r="BU17"/>
  <c r="BU19"/>
  <c r="BT19"/>
  <c r="BS19"/>
  <c r="Z17" i="30"/>
  <c r="X17"/>
  <c r="BS22" i="29"/>
  <c r="Z20" i="30"/>
  <c r="BT22" i="29"/>
  <c r="BU22"/>
  <c r="X20" i="30"/>
  <c r="BT20" i="29"/>
  <c r="X18" i="30"/>
  <c r="BS20" i="29"/>
  <c r="Z18" i="30"/>
  <c r="BU20" i="29"/>
  <c r="J10" i="30"/>
  <c r="AQ12" i="29"/>
  <c r="L10" i="30"/>
  <c r="AS12" i="29"/>
  <c r="AR12"/>
  <c r="AO10"/>
  <c r="J17" i="30"/>
  <c r="AS19" i="29"/>
  <c r="AQ19"/>
  <c r="L17" i="30"/>
  <c r="AR19" i="29"/>
  <c r="M17" i="30"/>
  <c r="J19"/>
  <c r="AS21" i="29"/>
  <c r="AR21"/>
  <c r="AQ21"/>
  <c r="L19" i="30"/>
  <c r="J12"/>
  <c r="AS14" i="29"/>
  <c r="AQ14"/>
  <c r="L12" i="30"/>
  <c r="AR14" i="29"/>
  <c r="BG20"/>
  <c r="Q18" i="30"/>
  <c r="BE20" i="29"/>
  <c r="S18" i="30"/>
  <c r="BF20" i="29"/>
  <c r="BG17"/>
  <c r="Q15" i="30"/>
  <c r="BE17" i="29"/>
  <c r="S15" i="30"/>
  <c r="BF17" i="29"/>
  <c r="BF22"/>
  <c r="BE22"/>
  <c r="S20" i="30"/>
  <c r="Q20"/>
  <c r="BG22" i="29"/>
  <c r="Q13"/>
  <c r="P13"/>
  <c r="P14"/>
  <c r="Q14"/>
  <c r="P25"/>
  <c r="Q25"/>
  <c r="P11"/>
  <c r="Q11"/>
  <c r="M11"/>
  <c r="Q12"/>
  <c r="P12"/>
  <c r="Q17"/>
  <c r="M17"/>
  <c r="P17"/>
  <c r="P18"/>
  <c r="Q18"/>
  <c r="M18"/>
  <c r="P23"/>
  <c r="Q23"/>
  <c r="Q24"/>
  <c r="P24"/>
  <c r="P8"/>
  <c r="Q8"/>
  <c r="M8"/>
  <c r="O7"/>
  <c r="BF18"/>
  <c r="T16" i="30"/>
  <c r="BG18" i="29"/>
  <c r="Q16" i="30"/>
  <c r="BE18" i="29"/>
  <c r="S16" i="30"/>
  <c r="Q12"/>
  <c r="BE14" i="29"/>
  <c r="S12" i="30"/>
  <c r="BF14" i="29"/>
  <c r="BB15"/>
  <c r="BG14"/>
  <c r="BE25"/>
  <c r="S23" i="30"/>
  <c r="BF25" i="29"/>
  <c r="Q23" i="30"/>
  <c r="BG25" i="29"/>
  <c r="T8" i="30"/>
  <c r="T13"/>
  <c r="V13"/>
  <c r="BH15" i="29"/>
  <c r="U13" i="30"/>
  <c r="T17"/>
  <c r="BH10" i="29"/>
  <c r="U8" i="30"/>
  <c r="V8"/>
  <c r="BH19" i="29"/>
  <c r="U17" i="30"/>
  <c r="V17"/>
  <c r="T55" i="7"/>
  <c r="Z55"/>
  <c r="T49"/>
  <c r="Z49"/>
  <c r="T51"/>
  <c r="Z51"/>
  <c r="T22"/>
  <c r="Z22"/>
  <c r="T68"/>
  <c r="Z68"/>
  <c r="T18"/>
  <c r="Z18"/>
  <c r="T56"/>
  <c r="Z56"/>
  <c r="T20"/>
  <c r="Z20"/>
  <c r="T26"/>
  <c r="Z26"/>
  <c r="T58"/>
  <c r="Z58"/>
  <c r="T34"/>
  <c r="Z34"/>
  <c r="T25"/>
  <c r="Z25"/>
  <c r="T44"/>
  <c r="Z44"/>
  <c r="T72"/>
  <c r="Z72"/>
  <c r="T70"/>
  <c r="Z70"/>
  <c r="T35"/>
  <c r="Z35"/>
  <c r="T67"/>
  <c r="Z67"/>
  <c r="T57"/>
  <c r="Z57"/>
  <c r="T46"/>
  <c r="Z46"/>
  <c r="T61"/>
  <c r="Z61"/>
  <c r="T52"/>
  <c r="Z52"/>
  <c r="T41"/>
  <c r="Z41"/>
  <c r="T63"/>
  <c r="Z63"/>
  <c r="T47"/>
  <c r="Z47"/>
  <c r="T53"/>
  <c r="Z53"/>
  <c r="T38"/>
  <c r="Z38"/>
  <c r="T48"/>
  <c r="Z48"/>
  <c r="T24"/>
  <c r="Z24"/>
  <c r="T29"/>
  <c r="Z29"/>
  <c r="T59"/>
  <c r="Z59"/>
  <c r="T54"/>
  <c r="Z54"/>
  <c r="T42"/>
  <c r="Z42"/>
  <c r="T39"/>
  <c r="Z39"/>
  <c r="T33"/>
  <c r="Z33"/>
  <c r="T30"/>
  <c r="Z30"/>
  <c r="T19"/>
  <c r="Z19"/>
  <c r="T71"/>
  <c r="Z71"/>
  <c r="T65"/>
  <c r="Z65"/>
  <c r="T64"/>
  <c r="Z64"/>
  <c r="T23"/>
  <c r="Z23"/>
  <c r="T36"/>
  <c r="Z36"/>
  <c r="T28"/>
  <c r="Z28"/>
  <c r="T62"/>
  <c r="Z62"/>
  <c r="T69"/>
  <c r="Z69"/>
  <c r="T37"/>
  <c r="Z37"/>
  <c r="T66"/>
  <c r="Z66"/>
  <c r="T60"/>
  <c r="Z60"/>
  <c r="T21"/>
  <c r="Z21"/>
  <c r="T45"/>
  <c r="Z45"/>
  <c r="T40"/>
  <c r="Z40"/>
  <c r="T27"/>
  <c r="Z27"/>
  <c r="T32"/>
  <c r="Z32"/>
  <c r="T31"/>
  <c r="Z31"/>
  <c r="T43"/>
  <c r="Z43"/>
  <c r="T50"/>
  <c r="Z50"/>
  <c r="Q21"/>
  <c r="W21"/>
  <c r="Q25"/>
  <c r="W25"/>
  <c r="Q45"/>
  <c r="W45"/>
  <c r="Q57"/>
  <c r="W57"/>
  <c r="Q56"/>
  <c r="W56"/>
  <c r="Q52"/>
  <c r="W52"/>
  <c r="Q62"/>
  <c r="W62"/>
  <c r="Q31"/>
  <c r="W31"/>
  <c r="Q48"/>
  <c r="W48"/>
  <c r="Q68"/>
  <c r="W68"/>
  <c r="Q37"/>
  <c r="W37"/>
  <c r="Q64"/>
  <c r="W64"/>
  <c r="Q42"/>
  <c r="W42"/>
  <c r="Q38"/>
  <c r="W38"/>
  <c r="Q24"/>
  <c r="W24"/>
  <c r="Q19"/>
  <c r="W19"/>
  <c r="Q43"/>
  <c r="W43"/>
  <c r="Q28"/>
  <c r="W28"/>
  <c r="Q55"/>
  <c r="W55"/>
  <c r="Q27"/>
  <c r="W27"/>
  <c r="Q32"/>
  <c r="W32"/>
  <c r="Q70"/>
  <c r="W70"/>
  <c r="Q35"/>
  <c r="W35"/>
  <c r="Q63"/>
  <c r="W63"/>
  <c r="Q40"/>
  <c r="W40"/>
  <c r="Q36"/>
  <c r="W36"/>
  <c r="Q67"/>
  <c r="W67"/>
  <c r="Q71"/>
  <c r="W71"/>
  <c r="Q22"/>
  <c r="W22"/>
  <c r="Q23"/>
  <c r="W23"/>
  <c r="Q61"/>
  <c r="W61"/>
  <c r="Q39"/>
  <c r="W39"/>
  <c r="Q51"/>
  <c r="W51"/>
  <c r="Q33"/>
  <c r="W33"/>
  <c r="Q34"/>
  <c r="W34"/>
  <c r="Q46"/>
  <c r="W46"/>
  <c r="Q26"/>
  <c r="W26"/>
  <c r="Q66"/>
  <c r="W66"/>
  <c r="Q47"/>
  <c r="W47"/>
  <c r="Q72"/>
  <c r="W72"/>
  <c r="Q58"/>
  <c r="W58"/>
  <c r="Q18"/>
  <c r="W18"/>
  <c r="Q20"/>
  <c r="W20"/>
  <c r="Q60"/>
  <c r="W60"/>
  <c r="Q65"/>
  <c r="W65"/>
  <c r="Q69"/>
  <c r="W69"/>
  <c r="Q50"/>
  <c r="W50"/>
  <c r="Q53"/>
  <c r="W53"/>
  <c r="Q54"/>
  <c r="W54"/>
  <c r="Q44"/>
  <c r="W44"/>
  <c r="Q41"/>
  <c r="W41"/>
  <c r="Q30"/>
  <c r="W30"/>
  <c r="Q49"/>
  <c r="W49"/>
  <c r="Q29"/>
  <c r="W29"/>
  <c r="Q59"/>
  <c r="W59"/>
  <c r="S54"/>
  <c r="Y54"/>
  <c r="S52"/>
  <c r="Y52"/>
  <c r="S24"/>
  <c r="Y24"/>
  <c r="S70"/>
  <c r="Y70"/>
  <c r="S18"/>
  <c r="Y18"/>
  <c r="S41"/>
  <c r="Y41"/>
  <c r="S68"/>
  <c r="Y68"/>
  <c r="S25"/>
  <c r="Y25"/>
  <c r="S46"/>
  <c r="Y46"/>
  <c r="S19"/>
  <c r="Y19"/>
  <c r="S53"/>
  <c r="Y53"/>
  <c r="S28"/>
  <c r="Y28"/>
  <c r="S63"/>
  <c r="Y63"/>
  <c r="S47"/>
  <c r="Y47"/>
  <c r="S65"/>
  <c r="Y65"/>
  <c r="S48"/>
  <c r="Y48"/>
  <c r="S20"/>
  <c r="Y20"/>
  <c r="S51"/>
  <c r="Y51"/>
  <c r="S33"/>
  <c r="Y33"/>
  <c r="S21"/>
  <c r="Y21"/>
  <c r="S39"/>
  <c r="Y39"/>
  <c r="S32"/>
  <c r="Y32"/>
  <c r="S60"/>
  <c r="Y60"/>
  <c r="S40"/>
  <c r="Y40"/>
  <c r="S49"/>
  <c r="Y49"/>
  <c r="S50"/>
  <c r="Y50"/>
  <c r="S36"/>
  <c r="Y36"/>
  <c r="S59"/>
  <c r="Y59"/>
  <c r="S45"/>
  <c r="Y45"/>
  <c r="S71"/>
  <c r="Y71"/>
  <c r="S37"/>
  <c r="Y37"/>
  <c r="S64"/>
  <c r="Y64"/>
  <c r="S23"/>
  <c r="Y23"/>
  <c r="S62"/>
  <c r="Y62"/>
  <c r="S34"/>
  <c r="Y34"/>
  <c r="S55"/>
  <c r="Y55"/>
  <c r="S31"/>
  <c r="Y31"/>
  <c r="S56"/>
  <c r="Y56"/>
  <c r="S35"/>
  <c r="Y35"/>
  <c r="S43"/>
  <c r="Y43"/>
  <c r="S22"/>
  <c r="Y22"/>
  <c r="S72"/>
  <c r="Y72"/>
  <c r="S26"/>
  <c r="Y26"/>
  <c r="S30"/>
  <c r="Y30"/>
  <c r="S42"/>
  <c r="Y42"/>
  <c r="S66"/>
  <c r="Y66"/>
  <c r="S69"/>
  <c r="Y69"/>
  <c r="S27"/>
  <c r="Y27"/>
  <c r="S29"/>
  <c r="Y29"/>
  <c r="S38"/>
  <c r="Y38"/>
  <c r="S61"/>
  <c r="Y61"/>
  <c r="S57"/>
  <c r="Y57"/>
  <c r="S58"/>
  <c r="Y58"/>
  <c r="S67"/>
  <c r="Y67"/>
  <c r="S44"/>
  <c r="Y44"/>
  <c r="U20"/>
  <c r="AA20"/>
  <c r="U24"/>
  <c r="AA24"/>
  <c r="U23"/>
  <c r="AA23"/>
  <c r="U22"/>
  <c r="AA22"/>
  <c r="U39"/>
  <c r="AA39"/>
  <c r="U70"/>
  <c r="AA70"/>
  <c r="U29"/>
  <c r="AA29"/>
  <c r="U56"/>
  <c r="AA56"/>
  <c r="U65"/>
  <c r="AA65"/>
  <c r="U63"/>
  <c r="AA63"/>
  <c r="U37"/>
  <c r="AA37"/>
  <c r="U31"/>
  <c r="AA31"/>
  <c r="U42"/>
  <c r="AA42"/>
  <c r="U33"/>
  <c r="AA33"/>
  <c r="U30"/>
  <c r="AA30"/>
  <c r="U67"/>
  <c r="AA67"/>
  <c r="U35"/>
  <c r="AA35"/>
  <c r="U49"/>
  <c r="AA49"/>
  <c r="U53"/>
  <c r="AA53"/>
  <c r="U36"/>
  <c r="AA36"/>
  <c r="U68"/>
  <c r="AA68"/>
  <c r="U51"/>
  <c r="AA51"/>
  <c r="U54"/>
  <c r="AA54"/>
  <c r="U25"/>
  <c r="AA25"/>
  <c r="U21"/>
  <c r="AA21"/>
  <c r="U46"/>
  <c r="AA46"/>
  <c r="U47"/>
  <c r="AA47"/>
  <c r="U18"/>
  <c r="AA18"/>
  <c r="U71"/>
  <c r="AA71"/>
  <c r="U60"/>
  <c r="AA60"/>
  <c r="U66"/>
  <c r="AA66"/>
  <c r="U44"/>
  <c r="AA44"/>
  <c r="U41"/>
  <c r="AA41"/>
  <c r="U59"/>
  <c r="AA59"/>
  <c r="U28"/>
  <c r="AA28"/>
  <c r="U45"/>
  <c r="AA45"/>
  <c r="U43"/>
  <c r="AA43"/>
  <c r="U61"/>
  <c r="AA61"/>
  <c r="U34"/>
  <c r="AA34"/>
  <c r="U27"/>
  <c r="AA27"/>
  <c r="U26"/>
  <c r="AA26"/>
  <c r="U55"/>
  <c r="AA55"/>
  <c r="U50"/>
  <c r="AA50"/>
  <c r="U57"/>
  <c r="AA57"/>
  <c r="U19"/>
  <c r="AA19"/>
  <c r="U69"/>
  <c r="AA69"/>
  <c r="U62"/>
  <c r="AA62"/>
  <c r="U72"/>
  <c r="AA72"/>
  <c r="U52"/>
  <c r="AA52"/>
  <c r="U64"/>
  <c r="AA64"/>
  <c r="U32"/>
  <c r="AA32"/>
  <c r="U38"/>
  <c r="AA38"/>
  <c r="U58"/>
  <c r="AA58"/>
  <c r="U40"/>
  <c r="AA40"/>
  <c r="U48"/>
  <c r="AA48"/>
  <c r="R30"/>
  <c r="X30"/>
  <c r="R69"/>
  <c r="X69"/>
  <c r="R25"/>
  <c r="X25"/>
  <c r="R62"/>
  <c r="X62"/>
  <c r="R68"/>
  <c r="X68"/>
  <c r="R56"/>
  <c r="X56"/>
  <c r="R35"/>
  <c r="X35"/>
  <c r="R41"/>
  <c r="X41"/>
  <c r="R58"/>
  <c r="X58"/>
  <c r="R40"/>
  <c r="X40"/>
  <c r="R66"/>
  <c r="X66"/>
  <c r="R55"/>
  <c r="X55"/>
  <c r="R71"/>
  <c r="X71"/>
  <c r="R31"/>
  <c r="X31"/>
  <c r="R61"/>
  <c r="X61"/>
  <c r="R19"/>
  <c r="X19"/>
  <c r="R44"/>
  <c r="X44"/>
  <c r="R72"/>
  <c r="X72"/>
  <c r="R26"/>
  <c r="X26"/>
  <c r="R43"/>
  <c r="X43"/>
  <c r="R49"/>
  <c r="X49"/>
  <c r="R70"/>
  <c r="X70"/>
  <c r="R21"/>
  <c r="X21"/>
  <c r="R29"/>
  <c r="X29"/>
  <c r="R37"/>
  <c r="X37"/>
  <c r="R20"/>
  <c r="X20"/>
  <c r="R33"/>
  <c r="X33"/>
  <c r="R18"/>
  <c r="X18"/>
  <c r="R48"/>
  <c r="X48"/>
  <c r="R53"/>
  <c r="X53"/>
  <c r="R45"/>
  <c r="X45"/>
  <c r="R65"/>
  <c r="X65"/>
  <c r="R23"/>
  <c r="X23"/>
  <c r="R38"/>
  <c r="X38"/>
  <c r="R60"/>
  <c r="X60"/>
  <c r="R22"/>
  <c r="X22"/>
  <c r="R67"/>
  <c r="X67"/>
  <c r="R64"/>
  <c r="X64"/>
  <c r="R54"/>
  <c r="X54"/>
  <c r="R57"/>
  <c r="X57"/>
  <c r="R39"/>
  <c r="X39"/>
  <c r="R32"/>
  <c r="X32"/>
  <c r="R34"/>
  <c r="X34"/>
  <c r="R52"/>
  <c r="X52"/>
  <c r="R42"/>
  <c r="X42"/>
  <c r="R47"/>
  <c r="X47"/>
  <c r="R59"/>
  <c r="X59"/>
  <c r="R28"/>
  <c r="X28"/>
  <c r="R46"/>
  <c r="X46"/>
  <c r="R51"/>
  <c r="X51"/>
  <c r="R36"/>
  <c r="X36"/>
  <c r="R27"/>
  <c r="X27"/>
  <c r="R50"/>
  <c r="X50"/>
  <c r="R63"/>
  <c r="X63"/>
  <c r="R24"/>
  <c r="X24"/>
  <c r="BW29" i="12"/>
  <c r="T26" i="15"/>
  <c r="BV29" i="12"/>
  <c r="V26" i="15"/>
  <c r="BV38" i="12"/>
  <c r="V35" i="15"/>
  <c r="T35"/>
  <c r="BW38" i="12"/>
  <c r="BV31"/>
  <c r="V28" i="15"/>
  <c r="BW31" i="12"/>
  <c r="T28" i="15"/>
  <c r="BW13" i="12"/>
  <c r="BV13"/>
  <c r="V10" i="15"/>
  <c r="T10"/>
  <c r="T55"/>
  <c r="BV58" i="12"/>
  <c r="V55" i="15"/>
  <c r="BW58" i="12"/>
  <c r="T5" i="15"/>
  <c r="BV8" i="12"/>
  <c r="V5" i="15"/>
  <c r="BW8" i="12"/>
  <c r="BW33"/>
  <c r="BV33"/>
  <c r="V30" i="15"/>
  <c r="T30"/>
  <c r="BW45" i="12"/>
  <c r="BV45"/>
  <c r="V42" i="15"/>
  <c r="T42"/>
  <c r="T15"/>
  <c r="BV18" i="12"/>
  <c r="V15" i="15"/>
  <c r="BW18" i="12"/>
  <c r="BW57"/>
  <c r="BV57"/>
  <c r="V54" i="15"/>
  <c r="T54"/>
  <c r="BW15" i="12"/>
  <c r="BV15"/>
  <c r="V12" i="15"/>
  <c r="T12"/>
  <c r="BV28" i="12"/>
  <c r="V25" i="15"/>
  <c r="T25"/>
  <c r="BW28" i="12"/>
  <c r="BV43"/>
  <c r="V40" i="15"/>
  <c r="BW43" i="12"/>
  <c r="T40" i="15"/>
  <c r="BW51" i="12"/>
  <c r="BV51"/>
  <c r="V48" i="15"/>
  <c r="T48"/>
  <c r="J43"/>
  <c r="BE46" i="12"/>
  <c r="BD46"/>
  <c r="L43" i="15"/>
  <c r="BD51" i="12"/>
  <c r="L48" i="15"/>
  <c r="J48"/>
  <c r="BE51" i="12"/>
  <c r="BE40"/>
  <c r="J37" i="15"/>
  <c r="BD40" i="12"/>
  <c r="L37" i="15"/>
  <c r="J31"/>
  <c r="BE34" i="12"/>
  <c r="BD34"/>
  <c r="L31" i="15"/>
  <c r="BD12" i="12"/>
  <c r="L9" i="15"/>
  <c r="J9"/>
  <c r="BE12" i="12"/>
  <c r="BD33"/>
  <c r="L30" i="15"/>
  <c r="J30"/>
  <c r="BE33" i="12"/>
  <c r="BD53"/>
  <c r="L50" i="15"/>
  <c r="J50"/>
  <c r="BE53" i="12"/>
  <c r="BE48"/>
  <c r="BD48"/>
  <c r="L45" i="15"/>
  <c r="J45"/>
  <c r="BE22" i="12"/>
  <c r="BD22"/>
  <c r="L19" i="15"/>
  <c r="J19"/>
  <c r="BD44" i="12"/>
  <c r="L41" i="15"/>
  <c r="BE44" i="12"/>
  <c r="J41" i="15"/>
  <c r="BD36" i="12"/>
  <c r="L33" i="15"/>
  <c r="BE36" i="12"/>
  <c r="J33" i="15"/>
  <c r="BE9" i="12"/>
  <c r="BD9"/>
  <c r="L6" i="15"/>
  <c r="J6"/>
  <c r="J29"/>
  <c r="BD32" i="12"/>
  <c r="L29" i="15"/>
  <c r="BE32" i="12"/>
  <c r="BE52"/>
  <c r="BD52"/>
  <c r="L49" i="15"/>
  <c r="J49"/>
  <c r="BD15" i="12"/>
  <c r="L12" i="15"/>
  <c r="BE15" i="12"/>
  <c r="J12" i="15"/>
  <c r="BD29" i="12"/>
  <c r="L26" i="15"/>
  <c r="J26"/>
  <c r="BE29" i="12"/>
  <c r="J52" i="15"/>
  <c r="BD55" i="12"/>
  <c r="L52" i="15"/>
  <c r="BE55" i="12"/>
  <c r="BC68"/>
  <c r="K65" i="15"/>
  <c r="BD68" i="12"/>
  <c r="L65" i="15"/>
  <c r="BE68" i="12"/>
  <c r="M65" i="15"/>
  <c r="J65"/>
  <c r="O41"/>
  <c r="BM44" i="12"/>
  <c r="Q41" i="15"/>
  <c r="BN44" i="12"/>
  <c r="BM13"/>
  <c r="Q10" i="15"/>
  <c r="O10"/>
  <c r="BN13" i="12"/>
  <c r="O23" i="15"/>
  <c r="BM26" i="12"/>
  <c r="Q23" i="15"/>
  <c r="BN26" i="12"/>
  <c r="BM28"/>
  <c r="Q25" i="15"/>
  <c r="BN28" i="12"/>
  <c r="O25" i="15"/>
  <c r="BN57" i="12"/>
  <c r="BM57"/>
  <c r="Q54" i="15"/>
  <c r="O54"/>
  <c r="BM54" i="12"/>
  <c r="Q51" i="15"/>
  <c r="O51"/>
  <c r="BN54" i="12"/>
  <c r="BM39"/>
  <c r="Q36" i="15"/>
  <c r="O36"/>
  <c r="BN39" i="12"/>
  <c r="O7" i="15"/>
  <c r="BN10" i="12"/>
  <c r="BM10"/>
  <c r="Q7" i="15"/>
  <c r="BM17" i="12"/>
  <c r="Q14" i="15"/>
  <c r="BN17" i="12"/>
  <c r="O14" i="15"/>
  <c r="O17"/>
  <c r="BM20" i="12"/>
  <c r="Q17" i="15"/>
  <c r="BN20" i="12"/>
  <c r="BL68"/>
  <c r="P65" i="15"/>
  <c r="BM68" i="12"/>
  <c r="Q65" i="15"/>
  <c r="BN68" i="12"/>
  <c r="R65" i="15"/>
  <c r="O65"/>
  <c r="O9"/>
  <c r="BM12" i="12"/>
  <c r="Q9" i="15"/>
  <c r="BN12" i="12"/>
  <c r="BM61"/>
  <c r="Q58" i="15"/>
  <c r="O58"/>
  <c r="BN61" i="12"/>
  <c r="BM27"/>
  <c r="Q24" i="15"/>
  <c r="O24"/>
  <c r="BN27" i="12"/>
  <c r="BM47"/>
  <c r="Q44" i="15"/>
  <c r="O44"/>
  <c r="BN47" i="12"/>
  <c r="O47" i="15"/>
  <c r="BM50" i="12"/>
  <c r="Q47" i="15"/>
  <c r="BN50" i="12"/>
  <c r="BN25"/>
  <c r="BM25"/>
  <c r="Q22" i="15"/>
  <c r="O22"/>
  <c r="BM53" i="12"/>
  <c r="Q50" i="15"/>
  <c r="BN53" i="12"/>
  <c r="O50" i="15"/>
  <c r="BN52" i="12"/>
  <c r="BM52"/>
  <c r="Q49" i="15"/>
  <c r="O49"/>
  <c r="BM22" i="12"/>
  <c r="Q19" i="15"/>
  <c r="O19"/>
  <c r="BN22" i="12"/>
  <c r="BM24"/>
  <c r="Q21" i="15"/>
  <c r="BN24" i="12"/>
  <c r="O21" i="15"/>
  <c r="O35"/>
  <c r="BN38" i="12"/>
  <c r="BM38"/>
  <c r="Q35" i="15"/>
  <c r="BN11" i="12"/>
  <c r="BM11"/>
  <c r="Q8" i="15"/>
  <c r="O8"/>
  <c r="BL69" i="12"/>
  <c r="P66" i="15"/>
  <c r="BN69" i="12"/>
  <c r="R66" i="15"/>
  <c r="BM69" i="12"/>
  <c r="Q66" i="15"/>
  <c r="O66"/>
  <c r="BM46" i="12"/>
  <c r="Q43" i="15"/>
  <c r="O43"/>
  <c r="BN46" i="12"/>
  <c r="BN55"/>
  <c r="BM55"/>
  <c r="Q52" i="15"/>
  <c r="O52"/>
  <c r="BN16" i="12"/>
  <c r="BM16"/>
  <c r="Q13" i="15"/>
  <c r="O13"/>
  <c r="BN19" i="12"/>
  <c r="BM19"/>
  <c r="Q16" i="15"/>
  <c r="O16"/>
  <c r="O26"/>
  <c r="BM29" i="12"/>
  <c r="Q26" i="15"/>
  <c r="BN29" i="12"/>
  <c r="BU63"/>
  <c r="U60" i="15"/>
  <c r="BV63" i="12"/>
  <c r="V60" i="15"/>
  <c r="BW63" i="12"/>
  <c r="W60" i="15"/>
  <c r="T60"/>
  <c r="BE67" i="12"/>
  <c r="M64" i="15"/>
  <c r="BC67" i="12"/>
  <c r="K64" i="15"/>
  <c r="BD67" i="12"/>
  <c r="L64" i="15"/>
  <c r="J64"/>
  <c r="BV10" i="12"/>
  <c r="V7" i="15"/>
  <c r="BW10" i="12"/>
  <c r="T7" i="15"/>
  <c r="BV59" i="12"/>
  <c r="V56" i="15"/>
  <c r="T56"/>
  <c r="BW59" i="12"/>
  <c r="BV61"/>
  <c r="V58" i="15"/>
  <c r="T58"/>
  <c r="BW61" i="12"/>
  <c r="BV53"/>
  <c r="V50" i="15"/>
  <c r="T50"/>
  <c r="BW53" i="12"/>
  <c r="BW24"/>
  <c r="BV24"/>
  <c r="V21" i="15"/>
  <c r="T21"/>
  <c r="BW36" i="12"/>
  <c r="BV36"/>
  <c r="V33" i="15"/>
  <c r="T33"/>
  <c r="BV20" i="12"/>
  <c r="V17" i="15"/>
  <c r="BW20" i="12"/>
  <c r="T17" i="15"/>
  <c r="BW44" i="12"/>
  <c r="BV44"/>
  <c r="V41" i="15"/>
  <c r="T41"/>
  <c r="BV22" i="12"/>
  <c r="V19" i="15"/>
  <c r="T19"/>
  <c r="BW22" i="12"/>
  <c r="T16" i="15"/>
  <c r="BV19" i="12"/>
  <c r="V16" i="15"/>
  <c r="BW19" i="12"/>
  <c r="BW14"/>
  <c r="BV14"/>
  <c r="V11" i="15"/>
  <c r="T11"/>
  <c r="T13"/>
  <c r="BV16" i="12"/>
  <c r="V13" i="15"/>
  <c r="BW16" i="12"/>
  <c r="BW40"/>
  <c r="BV40"/>
  <c r="V37" i="15"/>
  <c r="T37"/>
  <c r="BW32" i="12"/>
  <c r="T29" i="15"/>
  <c r="BV32" i="12"/>
  <c r="V29" i="15"/>
  <c r="BV41" i="12"/>
  <c r="V38" i="15"/>
  <c r="T38"/>
  <c r="BW41" i="12"/>
  <c r="BD16"/>
  <c r="L13" i="15"/>
  <c r="BE16" i="12"/>
  <c r="J13" i="15"/>
  <c r="BE10" i="12"/>
  <c r="BD10"/>
  <c r="L7" i="15"/>
  <c r="J7"/>
  <c r="BD58" i="12"/>
  <c r="L55" i="15"/>
  <c r="J55"/>
  <c r="BE58" i="12"/>
  <c r="BD50"/>
  <c r="L47" i="15"/>
  <c r="J47"/>
  <c r="BE50" i="12"/>
  <c r="J5" i="15"/>
  <c r="BE8" i="12"/>
  <c r="BD8"/>
  <c r="L5" i="15"/>
  <c r="BE25" i="12"/>
  <c r="J22" i="15"/>
  <c r="BD25" i="12"/>
  <c r="L22" i="15"/>
  <c r="J15"/>
  <c r="BD18" i="12"/>
  <c r="L15" i="15"/>
  <c r="BE18" i="12"/>
  <c r="BE30"/>
  <c r="BD30"/>
  <c r="L27" i="15"/>
  <c r="J27"/>
  <c r="BE31" i="12"/>
  <c r="BD31"/>
  <c r="L28" i="15"/>
  <c r="J28"/>
  <c r="BW65" i="12"/>
  <c r="W62" i="15"/>
  <c r="BV65" i="12"/>
  <c r="V62" i="15"/>
  <c r="BU65" i="12"/>
  <c r="U62" i="15"/>
  <c r="T62"/>
  <c r="BW62" i="12"/>
  <c r="W59" i="15"/>
  <c r="BV62" i="12"/>
  <c r="V59" i="15"/>
  <c r="BU62" i="12"/>
  <c r="U59" i="15"/>
  <c r="T59"/>
  <c r="BU68" i="12"/>
  <c r="U65" i="15"/>
  <c r="BW68" i="12"/>
  <c r="W65" i="15"/>
  <c r="BV68" i="12"/>
  <c r="V65" i="15"/>
  <c r="T65"/>
  <c r="BC62" i="12"/>
  <c r="K59" i="15"/>
  <c r="BD62" i="12"/>
  <c r="L59" i="15"/>
  <c r="BE62" i="12"/>
  <c r="M59" i="15"/>
  <c r="J59"/>
  <c r="BE64" i="12"/>
  <c r="M61" i="15"/>
  <c r="BD64" i="12"/>
  <c r="L61" i="15"/>
  <c r="BC64" i="12"/>
  <c r="K61" i="15"/>
  <c r="J61"/>
  <c r="BD69" i="12"/>
  <c r="L66" i="15"/>
  <c r="BE69" i="12"/>
  <c r="M66" i="15"/>
  <c r="BC69" i="12"/>
  <c r="K66" i="15"/>
  <c r="J66"/>
  <c r="BN62" i="12"/>
  <c r="R59" i="15"/>
  <c r="BL62" i="12"/>
  <c r="P59" i="15"/>
  <c r="BM62" i="12"/>
  <c r="Q59" i="15"/>
  <c r="O59"/>
  <c r="BL63" i="12"/>
  <c r="P60" i="15"/>
  <c r="BM63" i="12"/>
  <c r="Q60" i="15"/>
  <c r="BN63" i="12"/>
  <c r="R60" i="15"/>
  <c r="O60"/>
  <c r="BM64" i="12"/>
  <c r="Q61" i="15"/>
  <c r="BN64" i="12"/>
  <c r="R61" i="15"/>
  <c r="BL64" i="12"/>
  <c r="P61" i="15"/>
  <c r="O61"/>
  <c r="BW64" i="12"/>
  <c r="W61" i="15"/>
  <c r="T61"/>
  <c r="BU64" i="12"/>
  <c r="U61" i="15"/>
  <c r="BV64" i="12"/>
  <c r="V61" i="15"/>
  <c r="T20"/>
  <c r="BW23" i="12"/>
  <c r="BV23"/>
  <c r="V20" i="15"/>
  <c r="T45"/>
  <c r="BW48" i="12"/>
  <c r="BV48"/>
  <c r="V45" i="15"/>
  <c r="BV34" i="12"/>
  <c r="V31" i="15"/>
  <c r="BW34" i="12"/>
  <c r="T31" i="15"/>
  <c r="BU69" i="12"/>
  <c r="BV69"/>
  <c r="BW69"/>
  <c r="T66" i="15"/>
  <c r="BV52" i="12"/>
  <c r="V49" i="15"/>
  <c r="T49"/>
  <c r="BW52" i="12"/>
  <c r="BV12"/>
  <c r="V9" i="15"/>
  <c r="BW12" i="12"/>
  <c r="T9" i="15"/>
  <c r="BV55" i="12"/>
  <c r="V52" i="15"/>
  <c r="BW55" i="12"/>
  <c r="T52" i="15"/>
  <c r="BV42" i="12"/>
  <c r="V39" i="15"/>
  <c r="T39"/>
  <c r="BW42" i="12"/>
  <c r="BV56"/>
  <c r="V53" i="15"/>
  <c r="T53"/>
  <c r="BW56" i="12"/>
  <c r="BW67"/>
  <c r="W64" i="15"/>
  <c r="BV67" i="12"/>
  <c r="V64" i="15"/>
  <c r="BU67" i="12"/>
  <c r="U64" i="15"/>
  <c r="T64"/>
  <c r="BV35" i="12"/>
  <c r="V32" i="15"/>
  <c r="BW35" i="12"/>
  <c r="T32" i="15"/>
  <c r="BV39" i="12"/>
  <c r="V36" i="15"/>
  <c r="T36"/>
  <c r="BW39" i="12"/>
  <c r="BV11"/>
  <c r="V8" i="15"/>
  <c r="BW11" i="12"/>
  <c r="T8" i="15"/>
  <c r="BV27" i="12"/>
  <c r="V24" i="15"/>
  <c r="T24"/>
  <c r="BW27" i="12"/>
  <c r="BW37"/>
  <c r="BV37"/>
  <c r="V34" i="15"/>
  <c r="T34"/>
  <c r="T51"/>
  <c r="BV54" i="12"/>
  <c r="V51" i="15"/>
  <c r="BW54" i="12"/>
  <c r="BV50"/>
  <c r="V47" i="15"/>
  <c r="T47"/>
  <c r="BW50" i="12"/>
  <c r="T46" i="15"/>
  <c r="BV49" i="12"/>
  <c r="V46" i="15"/>
  <c r="BW49" i="12"/>
  <c r="BV30"/>
  <c r="V27" i="15"/>
  <c r="T27"/>
  <c r="BW30" i="12"/>
  <c r="T14" i="15"/>
  <c r="BV17" i="12"/>
  <c r="V14" i="15"/>
  <c r="BW17" i="12"/>
  <c r="BW46"/>
  <c r="BV46"/>
  <c r="V43" i="15"/>
  <c r="T43"/>
  <c r="T23"/>
  <c r="BV26" i="12"/>
  <c r="V23" i="15"/>
  <c r="BW26" i="12"/>
  <c r="BW60"/>
  <c r="BV60"/>
  <c r="V57" i="15"/>
  <c r="T57"/>
  <c r="BV66" i="12"/>
  <c r="V63" i="15"/>
  <c r="BW66" i="12"/>
  <c r="W63" i="15"/>
  <c r="BU66" i="12"/>
  <c r="U63" i="15"/>
  <c r="T63"/>
  <c r="BV47" i="12"/>
  <c r="V44" i="15"/>
  <c r="BW47" i="12"/>
  <c r="T44" i="15"/>
  <c r="BW9" i="12"/>
  <c r="BV9"/>
  <c r="V6" i="15"/>
  <c r="T6"/>
  <c r="T22"/>
  <c r="BW25" i="12"/>
  <c r="BV25"/>
  <c r="V22" i="15"/>
  <c r="BW21" i="12"/>
  <c r="BV21"/>
  <c r="V18" i="15"/>
  <c r="T18"/>
  <c r="J53"/>
  <c r="BD56" i="12"/>
  <c r="L53" i="15"/>
  <c r="BE56" i="12"/>
  <c r="BE45"/>
  <c r="BD45"/>
  <c r="L42" i="15"/>
  <c r="J42"/>
  <c r="BD42" i="12"/>
  <c r="L39" i="15"/>
  <c r="BE42" i="12"/>
  <c r="J39" i="15"/>
  <c r="BD59" i="12"/>
  <c r="L56" i="15"/>
  <c r="BE59" i="12"/>
  <c r="J56" i="15"/>
  <c r="BD47" i="12"/>
  <c r="L44" i="15"/>
  <c r="J44"/>
  <c r="BE47" i="12"/>
  <c r="BD11"/>
  <c r="L8" i="15"/>
  <c r="BE11" i="12"/>
  <c r="J8" i="15"/>
  <c r="BD57" i="12"/>
  <c r="L54" i="15"/>
  <c r="J54"/>
  <c r="BE57" i="12"/>
  <c r="BD65"/>
  <c r="L62" i="15"/>
  <c r="BE65" i="12"/>
  <c r="M62" i="15"/>
  <c r="BC65" i="12"/>
  <c r="K62" i="15"/>
  <c r="J62"/>
  <c r="J38"/>
  <c r="BD41" i="12"/>
  <c r="L38" i="15"/>
  <c r="BE41" i="12"/>
  <c r="BE27"/>
  <c r="BD27"/>
  <c r="L24" i="15"/>
  <c r="J24"/>
  <c r="BE21" i="12"/>
  <c r="BD21"/>
  <c r="L18" i="15"/>
  <c r="J18"/>
  <c r="BC66" i="12"/>
  <c r="K63" i="15"/>
  <c r="BE66" i="12"/>
  <c r="M63" i="15"/>
  <c r="BD66" i="12"/>
  <c r="L63" i="15"/>
  <c r="J63"/>
  <c r="BE39" i="12"/>
  <c r="BD39"/>
  <c r="L36" i="15"/>
  <c r="J36"/>
  <c r="BD14" i="12"/>
  <c r="L11" i="15"/>
  <c r="BE14" i="12"/>
  <c r="J11" i="15"/>
  <c r="BD13" i="12"/>
  <c r="L10" i="15"/>
  <c r="J10"/>
  <c r="BE13" i="12"/>
  <c r="J20" i="15"/>
  <c r="BD23" i="12"/>
  <c r="L20" i="15"/>
  <c r="BE23" i="12"/>
  <c r="BD20"/>
  <c r="L17" i="15"/>
  <c r="J17"/>
  <c r="BE20" i="12"/>
  <c r="BD37"/>
  <c r="L34" i="15"/>
  <c r="J34"/>
  <c r="BE37" i="12"/>
  <c r="BE49"/>
  <c r="BD49"/>
  <c r="L46" i="15"/>
  <c r="J46"/>
  <c r="BE17" i="12"/>
  <c r="BD17"/>
  <c r="L14" i="15"/>
  <c r="J14"/>
  <c r="BE28" i="12"/>
  <c r="BD28"/>
  <c r="L25" i="15"/>
  <c r="J25"/>
  <c r="J58"/>
  <c r="BD61" i="12"/>
  <c r="L58" i="15"/>
  <c r="BE61" i="12"/>
  <c r="BD54"/>
  <c r="L51" i="15"/>
  <c r="BE54" i="12"/>
  <c r="J51" i="15"/>
  <c r="BD38" i="12"/>
  <c r="L35" i="15"/>
  <c r="J35"/>
  <c r="BE38" i="12"/>
  <c r="BD35"/>
  <c r="L32" i="15"/>
  <c r="J32"/>
  <c r="BE35" i="12"/>
  <c r="BC63"/>
  <c r="K60" i="15"/>
  <c r="BE63" i="12"/>
  <c r="M60" i="15"/>
  <c r="BD63" i="12"/>
  <c r="L60" i="15"/>
  <c r="J60"/>
  <c r="BE26" i="12"/>
  <c r="BD26"/>
  <c r="L23" i="15"/>
  <c r="J23"/>
  <c r="BE24" i="12"/>
  <c r="BD24"/>
  <c r="L21" i="15"/>
  <c r="J21"/>
  <c r="J16"/>
  <c r="BD19" i="12"/>
  <c r="L16" i="15"/>
  <c r="BE19" i="12"/>
  <c r="BE43"/>
  <c r="BD43"/>
  <c r="L40" i="15"/>
  <c r="J40"/>
  <c r="J57"/>
  <c r="BD60" i="12"/>
  <c r="L57" i="15"/>
  <c r="BE60" i="12"/>
  <c r="O45" i="15"/>
  <c r="BM48" i="12"/>
  <c r="Q45" i="15"/>
  <c r="BN48" i="12"/>
  <c r="O57" i="15"/>
  <c r="BM60" i="12"/>
  <c r="Q57" i="15"/>
  <c r="BN60" i="12"/>
  <c r="O56" i="15"/>
  <c r="BM59" i="12"/>
  <c r="Q56" i="15"/>
  <c r="BN59" i="12"/>
  <c r="BM33"/>
  <c r="Q30" i="15"/>
  <c r="O30"/>
  <c r="BN33" i="12"/>
  <c r="O40" i="15"/>
  <c r="BN43" i="12"/>
  <c r="BM43"/>
  <c r="Q40" i="15"/>
  <c r="BN15" i="12"/>
  <c r="BM15"/>
  <c r="Q12" i="15"/>
  <c r="O12"/>
  <c r="BN58" i="12"/>
  <c r="BM58"/>
  <c r="Q55" i="15"/>
  <c r="O55"/>
  <c r="BN36" i="12"/>
  <c r="BM36"/>
  <c r="Q33" i="15"/>
  <c r="O33"/>
  <c r="BM42" i="12"/>
  <c r="Q39" i="15"/>
  <c r="O39"/>
  <c r="BN42" i="12"/>
  <c r="O48" i="15"/>
  <c r="BM51" i="12"/>
  <c r="Q48" i="15"/>
  <c r="BN51" i="12"/>
  <c r="O29" i="15"/>
  <c r="BM32" i="12"/>
  <c r="Q29" i="15"/>
  <c r="BN32" i="12"/>
  <c r="BM8"/>
  <c r="Q5" i="15"/>
  <c r="BN8" i="12"/>
  <c r="O5" i="15"/>
  <c r="BM18" i="12"/>
  <c r="Q15" i="15"/>
  <c r="O15"/>
  <c r="BN18" i="12"/>
  <c r="BN21"/>
  <c r="O18" i="15"/>
  <c r="BM21" i="12"/>
  <c r="Q18" i="15"/>
  <c r="BM41" i="12"/>
  <c r="Q38" i="15"/>
  <c r="BN41" i="12"/>
  <c r="O38" i="15"/>
  <c r="BM9" i="12"/>
  <c r="Q6" i="15"/>
  <c r="O6"/>
  <c r="BN9" i="12"/>
  <c r="BM45"/>
  <c r="Q42" i="15"/>
  <c r="O42"/>
  <c r="BN45" i="12"/>
  <c r="BN37"/>
  <c r="BM37"/>
  <c r="Q34" i="15"/>
  <c r="O34"/>
  <c r="BM66" i="12"/>
  <c r="Q63" i="15"/>
  <c r="BN66" i="12"/>
  <c r="R63" i="15"/>
  <c r="BL66" i="12"/>
  <c r="P63" i="15"/>
  <c r="O63"/>
  <c r="BN31" i="12"/>
  <c r="BM31"/>
  <c r="Q28" i="15"/>
  <c r="O28"/>
  <c r="BM65" i="12"/>
  <c r="Q62" i="15"/>
  <c r="BN65" i="12"/>
  <c r="R62" i="15"/>
  <c r="BL65" i="12"/>
  <c r="P62" i="15"/>
  <c r="O62"/>
  <c r="BN23" i="12"/>
  <c r="BM23"/>
  <c r="Q20" i="15"/>
  <c r="O20"/>
  <c r="BN56" i="12"/>
  <c r="BM56"/>
  <c r="Q53" i="15"/>
  <c r="O53"/>
  <c r="BM35" i="12"/>
  <c r="Q32" i="15"/>
  <c r="BN35" i="12"/>
  <c r="O32" i="15"/>
  <c r="BN49" i="12"/>
  <c r="BM49"/>
  <c r="Q46" i="15"/>
  <c r="O46"/>
  <c r="BM14" i="12"/>
  <c r="Q11" i="15"/>
  <c r="O11"/>
  <c r="BN14" i="12"/>
  <c r="BL67"/>
  <c r="P64" i="15"/>
  <c r="BN67" i="12"/>
  <c r="R64" i="15"/>
  <c r="BM67" i="12"/>
  <c r="Q64" i="15"/>
  <c r="O64"/>
  <c r="BN40" i="12"/>
  <c r="BM40"/>
  <c r="Q37" i="15"/>
  <c r="O37"/>
  <c r="O31"/>
  <c r="BM34" i="12"/>
  <c r="Q31" i="15"/>
  <c r="BN34" i="12"/>
  <c r="O27" i="15"/>
  <c r="BM30" i="12"/>
  <c r="Q27" i="15"/>
  <c r="BN30" i="12"/>
  <c r="BB19" i="29"/>
  <c r="BT12"/>
  <c r="AA10" i="30"/>
  <c r="BU12" i="29"/>
  <c r="X10" i="30"/>
  <c r="BS12" i="29"/>
  <c r="Z10" i="30"/>
  <c r="M12" i="29"/>
  <c r="O11"/>
  <c r="M16"/>
  <c r="O17"/>
  <c r="T23" i="30"/>
  <c r="BB25" i="29"/>
  <c r="T15" i="30"/>
  <c r="BB17" i="29"/>
  <c r="T18" i="30"/>
  <c r="BB20" i="29"/>
  <c r="M12" i="30"/>
  <c r="M10"/>
  <c r="AA20"/>
  <c r="AA17"/>
  <c r="M9"/>
  <c r="M21"/>
  <c r="AN23" i="29"/>
  <c r="AA21" i="30"/>
  <c r="BP23" i="29"/>
  <c r="T21" i="30"/>
  <c r="BB23" i="29"/>
  <c r="T7" i="30"/>
  <c r="BB9" i="29"/>
  <c r="T14" i="30"/>
  <c r="BB16" i="29"/>
  <c r="BD16"/>
  <c r="R14" i="30"/>
  <c r="M23"/>
  <c r="M15"/>
  <c r="M14"/>
  <c r="AN16" i="29"/>
  <c r="AA19" i="30"/>
  <c r="T6"/>
  <c r="BB8" i="29"/>
  <c r="T11" i="30"/>
  <c r="BB13" i="29"/>
  <c r="M20" i="30"/>
  <c r="AA13"/>
  <c r="BP15" i="29"/>
  <c r="AA7" i="30"/>
  <c r="BP9" i="29"/>
  <c r="AA24" i="30"/>
  <c r="BP26" i="29"/>
  <c r="X8" i="30"/>
  <c r="BU10" i="29"/>
  <c r="BT10"/>
  <c r="BS10"/>
  <c r="Z8" i="30"/>
  <c r="M19" i="29"/>
  <c r="O18"/>
  <c r="T12" i="30"/>
  <c r="BB14" i="29"/>
  <c r="T20" i="30"/>
  <c r="M19"/>
  <c r="AN21" i="29"/>
  <c r="AN22"/>
  <c r="AP22"/>
  <c r="K20" i="30"/>
  <c r="AA18"/>
  <c r="AA15"/>
  <c r="AA9"/>
  <c r="BP11" i="29"/>
  <c r="T10" i="30"/>
  <c r="BB12" i="29"/>
  <c r="T22" i="30"/>
  <c r="BB24" i="29"/>
  <c r="BD24"/>
  <c r="R22" i="30"/>
  <c r="AA6"/>
  <c r="BP8" i="29"/>
  <c r="T24" i="30"/>
  <c r="BB26" i="29"/>
  <c r="BD26"/>
  <c r="R24" i="30"/>
  <c r="AA22"/>
  <c r="BP24" i="29"/>
  <c r="AA14" i="30"/>
  <c r="BP16" i="29"/>
  <c r="AA16" i="30"/>
  <c r="BP18" i="29"/>
  <c r="T9" i="30"/>
  <c r="BB11" i="29"/>
  <c r="BD11"/>
  <c r="R9" i="30"/>
  <c r="AO9" i="29"/>
  <c r="M13"/>
  <c r="M14"/>
  <c r="M15"/>
  <c r="M9"/>
  <c r="O9"/>
  <c r="M20"/>
  <c r="V23" i="30"/>
  <c r="BH25" i="29"/>
  <c r="U23" i="30"/>
  <c r="V12"/>
  <c r="BH14" i="29"/>
  <c r="U12" i="30"/>
  <c r="BH18" i="29"/>
  <c r="U16" i="30"/>
  <c r="V16"/>
  <c r="V20"/>
  <c r="BH22" i="29"/>
  <c r="U20" i="30"/>
  <c r="AT14" i="29"/>
  <c r="N12" i="30"/>
  <c r="O12"/>
  <c r="O19"/>
  <c r="AT21" i="29"/>
  <c r="N19" i="30"/>
  <c r="AT19" i="29"/>
  <c r="N17" i="30"/>
  <c r="O17"/>
  <c r="AC18"/>
  <c r="BV20" i="29"/>
  <c r="AB18" i="30"/>
  <c r="BV17" i="29"/>
  <c r="AB15" i="30"/>
  <c r="AC15"/>
  <c r="BV11" i="29"/>
  <c r="AB9" i="30"/>
  <c r="AC9"/>
  <c r="BH24" i="29"/>
  <c r="U22" i="30"/>
  <c r="V22"/>
  <c r="BH7" i="29"/>
  <c r="U5" i="30"/>
  <c r="V5"/>
  <c r="AT18" i="29"/>
  <c r="N16" i="30"/>
  <c r="O16"/>
  <c r="AT11" i="29"/>
  <c r="N9" i="30"/>
  <c r="O9"/>
  <c r="J11"/>
  <c r="AQ13" i="29"/>
  <c r="L11" i="30"/>
  <c r="AS13" i="29"/>
  <c r="AR13"/>
  <c r="AC5" i="30"/>
  <c r="BV7" i="29"/>
  <c r="AB5" i="30"/>
  <c r="V21"/>
  <c r="BH23" i="29"/>
  <c r="U21" i="30"/>
  <c r="BE21" i="29"/>
  <c r="S19" i="30"/>
  <c r="BF21" i="29"/>
  <c r="BB22"/>
  <c r="BG21"/>
  <c r="Q19" i="30"/>
  <c r="V14"/>
  <c r="BH16" i="29"/>
  <c r="U14" i="30"/>
  <c r="V24"/>
  <c r="BH26" i="29"/>
  <c r="U24" i="30"/>
  <c r="O23"/>
  <c r="AT25" i="29"/>
  <c r="N23" i="30"/>
  <c r="O15"/>
  <c r="AT17" i="29"/>
  <c r="N15" i="30"/>
  <c r="O14"/>
  <c r="AT16" i="29"/>
  <c r="N14" i="30"/>
  <c r="J22"/>
  <c r="AQ24" i="29"/>
  <c r="L22" i="30"/>
  <c r="AS24" i="29"/>
  <c r="AR24"/>
  <c r="AC22" i="30"/>
  <c r="BV24" i="29"/>
  <c r="AB22" i="30"/>
  <c r="AC16"/>
  <c r="BV18" i="29"/>
  <c r="AB16" i="30"/>
  <c r="BH11" i="29"/>
  <c r="U9" i="30"/>
  <c r="V9"/>
  <c r="BH13" i="29"/>
  <c r="U11" i="30"/>
  <c r="V11"/>
  <c r="O20"/>
  <c r="AT22" i="29"/>
  <c r="N20" i="30"/>
  <c r="AT20" i="29"/>
  <c r="N18" i="30"/>
  <c r="O18"/>
  <c r="AR8" i="29"/>
  <c r="AQ8"/>
  <c r="L6" i="30"/>
  <c r="AS8" i="29"/>
  <c r="J6" i="30"/>
  <c r="BV25" i="29"/>
  <c r="AB23" i="30"/>
  <c r="AC23"/>
  <c r="BH17" i="29"/>
  <c r="U15" i="30"/>
  <c r="V15"/>
  <c r="BH20" i="29"/>
  <c r="U18" i="30"/>
  <c r="V18"/>
  <c r="AS10" i="29"/>
  <c r="AQ10"/>
  <c r="L8" i="30"/>
  <c r="J8"/>
  <c r="AR10" i="29"/>
  <c r="AT12"/>
  <c r="N10" i="30"/>
  <c r="O10"/>
  <c r="AC20"/>
  <c r="BV22" i="29"/>
  <c r="AB20" i="30"/>
  <c r="AC17"/>
  <c r="BV19" i="29"/>
  <c r="AB17" i="30"/>
  <c r="V10"/>
  <c r="BH12" i="29"/>
  <c r="U10" i="30"/>
  <c r="AT26" i="29"/>
  <c r="N24" i="30"/>
  <c r="O24"/>
  <c r="O21"/>
  <c r="AT23" i="29"/>
  <c r="N21" i="30"/>
  <c r="BV8" i="29"/>
  <c r="AB6" i="30"/>
  <c r="AC6"/>
  <c r="BV14" i="29"/>
  <c r="AB12" i="30"/>
  <c r="AC12"/>
  <c r="AC21"/>
  <c r="BV23" i="29"/>
  <c r="AB21" i="30"/>
  <c r="V7"/>
  <c r="BH9" i="29"/>
  <c r="U7" i="30"/>
  <c r="O5"/>
  <c r="AT7" i="29"/>
  <c r="N5" i="30"/>
  <c r="AC19"/>
  <c r="BV21" i="29"/>
  <c r="AB19" i="30"/>
  <c r="AC11"/>
  <c r="BV13" i="29"/>
  <c r="AB11" i="30"/>
  <c r="AC14"/>
  <c r="BV16" i="29"/>
  <c r="AB14" i="30"/>
  <c r="BH8" i="29"/>
  <c r="U6" i="30"/>
  <c r="V6"/>
  <c r="O13"/>
  <c r="AT15" i="29"/>
  <c r="N13" i="30"/>
  <c r="AC13"/>
  <c r="BV15" i="29"/>
  <c r="AB13" i="30"/>
  <c r="AC7"/>
  <c r="BV9" i="29"/>
  <c r="AB7" i="30"/>
  <c r="BV26" i="29"/>
  <c r="AB24" i="30"/>
  <c r="AC24"/>
  <c r="AJ63" i="7"/>
  <c r="F51" i="9"/>
  <c r="AD63" i="7"/>
  <c r="G51" i="9"/>
  <c r="AD27" i="7"/>
  <c r="G15" i="9"/>
  <c r="AJ27" i="7"/>
  <c r="F15" i="9"/>
  <c r="AD51" i="7"/>
  <c r="G39" i="9"/>
  <c r="AJ51" i="7"/>
  <c r="F39" i="9"/>
  <c r="AD28" i="7"/>
  <c r="G16" i="9"/>
  <c r="AJ28" i="7"/>
  <c r="F16" i="9"/>
  <c r="AD47" i="7"/>
  <c r="G35" i="9"/>
  <c r="AJ47" i="7"/>
  <c r="F35" i="9"/>
  <c r="AJ52" i="7"/>
  <c r="F40" i="9"/>
  <c r="AD52" i="7"/>
  <c r="G40" i="9"/>
  <c r="AJ32" i="7"/>
  <c r="F20" i="9"/>
  <c r="AD32" i="7"/>
  <c r="G20" i="9"/>
  <c r="AJ57" i="7"/>
  <c r="F45" i="9"/>
  <c r="AD57" i="7"/>
  <c r="G45" i="9"/>
  <c r="AD64" i="7"/>
  <c r="G52" i="9"/>
  <c r="AJ64" i="7"/>
  <c r="F52" i="9"/>
  <c r="AD22" i="7"/>
  <c r="G10" i="9"/>
  <c r="AJ22" i="7"/>
  <c r="F10" i="9"/>
  <c r="AJ38" i="7"/>
  <c r="F26" i="9"/>
  <c r="AD38" i="7"/>
  <c r="G26" i="9"/>
  <c r="AJ65" i="7"/>
  <c r="F53" i="9"/>
  <c r="AD65" i="7"/>
  <c r="G53" i="9"/>
  <c r="AD53" i="7"/>
  <c r="G41" i="9"/>
  <c r="AJ53" i="7"/>
  <c r="F41" i="9"/>
  <c r="AJ18" i="7"/>
  <c r="F6" i="9"/>
  <c r="AD18" i="7"/>
  <c r="G6" i="9"/>
  <c r="AD20" i="7"/>
  <c r="G8" i="9"/>
  <c r="AJ20" i="7"/>
  <c r="F8" i="9"/>
  <c r="AD29" i="7"/>
  <c r="G17" i="9"/>
  <c r="AJ29" i="7"/>
  <c r="F17" i="9"/>
  <c r="AJ70" i="7"/>
  <c r="F58" i="9"/>
  <c r="AD70" i="7"/>
  <c r="G58" i="9"/>
  <c r="AJ43" i="7"/>
  <c r="F31" i="9"/>
  <c r="AD43" i="7"/>
  <c r="G31" i="9"/>
  <c r="AJ72" i="7"/>
  <c r="F60" i="9"/>
  <c r="AD72" i="7"/>
  <c r="G60" i="9"/>
  <c r="AD19" i="7"/>
  <c r="G7" i="9"/>
  <c r="AJ19" i="7"/>
  <c r="F7" i="9"/>
  <c r="AD31" i="7"/>
  <c r="G19" i="9"/>
  <c r="AJ31" i="7"/>
  <c r="F19" i="9"/>
  <c r="AJ55" i="7"/>
  <c r="F43" i="9"/>
  <c r="AD55" i="7"/>
  <c r="G43" i="9"/>
  <c r="AD40" i="7"/>
  <c r="G28" i="9"/>
  <c r="AJ40" i="7"/>
  <c r="F28" i="9"/>
  <c r="AJ41" i="7"/>
  <c r="F29" i="9"/>
  <c r="AD41" i="7"/>
  <c r="G29" i="9"/>
  <c r="AD56" i="7"/>
  <c r="G44" i="9"/>
  <c r="AJ56" i="7"/>
  <c r="F44" i="9"/>
  <c r="AD62" i="7"/>
  <c r="G50" i="9"/>
  <c r="AJ62" i="7"/>
  <c r="F50" i="9"/>
  <c r="AJ69" i="7"/>
  <c r="F57" i="9"/>
  <c r="AD69" i="7"/>
  <c r="G57" i="9"/>
  <c r="AG40" i="7"/>
  <c r="M28" i="9"/>
  <c r="AM40" i="7"/>
  <c r="L28" i="9"/>
  <c r="AG38" i="7"/>
  <c r="M26" i="9"/>
  <c r="AM38" i="7"/>
  <c r="L26" i="9"/>
  <c r="AM64" i="7"/>
  <c r="L52" i="9"/>
  <c r="AG64" i="7"/>
  <c r="M52" i="9"/>
  <c r="AG72" i="7"/>
  <c r="M60" i="9"/>
  <c r="AM72" i="7"/>
  <c r="L60" i="9"/>
  <c r="AG69" i="7"/>
  <c r="M57" i="9"/>
  <c r="AM69" i="7"/>
  <c r="L57" i="9"/>
  <c r="AG57" i="7"/>
  <c r="M45" i="9"/>
  <c r="AM57" i="7"/>
  <c r="L45" i="9"/>
  <c r="AM55" i="7"/>
  <c r="L43" i="9"/>
  <c r="AG55" i="7"/>
  <c r="M43" i="9"/>
  <c r="AM27" i="7"/>
  <c r="L15" i="9"/>
  <c r="AG27" i="7"/>
  <c r="M15" i="9"/>
  <c r="AM61" i="7"/>
  <c r="L49" i="9"/>
  <c r="AG61" i="7"/>
  <c r="M49" i="9"/>
  <c r="AM45" i="7"/>
  <c r="L33" i="9"/>
  <c r="AG45" i="7"/>
  <c r="M33" i="9"/>
  <c r="AM59" i="7"/>
  <c r="L47" i="9"/>
  <c r="AG59" i="7"/>
  <c r="M47" i="9"/>
  <c r="AG44" i="7"/>
  <c r="M32" i="9"/>
  <c r="AM44" i="7"/>
  <c r="L32" i="9"/>
  <c r="AG60" i="7"/>
  <c r="M48" i="9"/>
  <c r="AM60" i="7"/>
  <c r="L48" i="9"/>
  <c r="AM18" i="7"/>
  <c r="L6" i="9"/>
  <c r="AG18" i="7"/>
  <c r="M6" i="9"/>
  <c r="AM46" i="7"/>
  <c r="L34" i="9"/>
  <c r="AG46" i="7"/>
  <c r="M34" i="9"/>
  <c r="AM25" i="7"/>
  <c r="L13" i="9"/>
  <c r="AG25" i="7"/>
  <c r="M13" i="9"/>
  <c r="AM51" i="7"/>
  <c r="L39" i="9"/>
  <c r="AG51" i="7"/>
  <c r="M39" i="9"/>
  <c r="AG36" i="7"/>
  <c r="M24" i="9"/>
  <c r="AM36" i="7"/>
  <c r="L24" i="9"/>
  <c r="AM49" i="7"/>
  <c r="L37" i="9"/>
  <c r="AG49" i="7"/>
  <c r="M37" i="9"/>
  <c r="AM67" i="7"/>
  <c r="L55" i="9"/>
  <c r="AG67" i="7"/>
  <c r="M55" i="9"/>
  <c r="AM33" i="7"/>
  <c r="L21" i="9"/>
  <c r="AG33" i="7"/>
  <c r="M21" i="9"/>
  <c r="AG31" i="7"/>
  <c r="M19" i="9"/>
  <c r="AM31" i="7"/>
  <c r="L19" i="9"/>
  <c r="AM63" i="7"/>
  <c r="L51" i="9"/>
  <c r="AG63" i="7"/>
  <c r="M51" i="9"/>
  <c r="AG56" i="7"/>
  <c r="M44" i="9"/>
  <c r="AM56" i="7"/>
  <c r="L44" i="9"/>
  <c r="AG70" i="7"/>
  <c r="M58" i="9"/>
  <c r="AM70" i="7"/>
  <c r="L58" i="9"/>
  <c r="AM22" i="7"/>
  <c r="L10" i="9"/>
  <c r="AG22" i="7"/>
  <c r="M10" i="9"/>
  <c r="AM24" i="7"/>
  <c r="L12" i="9"/>
  <c r="AG24" i="7"/>
  <c r="M12" i="9"/>
  <c r="AK44" i="7"/>
  <c r="H32" i="9"/>
  <c r="AE44" i="7"/>
  <c r="I32" i="9"/>
  <c r="AE58" i="7"/>
  <c r="I46" i="9"/>
  <c r="AK58" i="7"/>
  <c r="H46" i="9"/>
  <c r="AK61" i="7"/>
  <c r="H49" i="9"/>
  <c r="AE61" i="7"/>
  <c r="I49" i="9"/>
  <c r="AK29" i="7"/>
  <c r="H17" i="9"/>
  <c r="AE29" i="7"/>
  <c r="I17" i="9"/>
  <c r="AE69" i="7"/>
  <c r="I57" i="9"/>
  <c r="AK69" i="7"/>
  <c r="H57" i="9"/>
  <c r="AE42" i="7"/>
  <c r="I30" i="9"/>
  <c r="AK42" i="7"/>
  <c r="H30" i="9"/>
  <c r="AK26" i="7"/>
  <c r="H14" i="9"/>
  <c r="AE26" i="7"/>
  <c r="I14" i="9"/>
  <c r="AE22" i="7"/>
  <c r="I10" i="9"/>
  <c r="AK22" i="7"/>
  <c r="H10" i="9"/>
  <c r="AE35" i="7"/>
  <c r="I23" i="9"/>
  <c r="AK35" i="7"/>
  <c r="H23" i="9"/>
  <c r="AK31" i="7"/>
  <c r="H19" i="9"/>
  <c r="AE31" i="7"/>
  <c r="I19" i="9"/>
  <c r="AE34" i="7"/>
  <c r="I22" i="9"/>
  <c r="AK34" i="7"/>
  <c r="H22" i="9"/>
  <c r="AE23" i="7"/>
  <c r="I11" i="9"/>
  <c r="AK23" i="7"/>
  <c r="H11" i="9"/>
  <c r="AE37" i="7"/>
  <c r="I25" i="9"/>
  <c r="AK37" i="7"/>
  <c r="H25" i="9"/>
  <c r="AK45" i="7"/>
  <c r="H33" i="9"/>
  <c r="AE45" i="7"/>
  <c r="I33" i="9"/>
  <c r="AK36" i="7"/>
  <c r="H24" i="9"/>
  <c r="AE36" i="7"/>
  <c r="I24" i="9"/>
  <c r="AK49" i="7"/>
  <c r="H37" i="9"/>
  <c r="AE49" i="7"/>
  <c r="I37" i="9"/>
  <c r="AK60" i="7"/>
  <c r="H48" i="9"/>
  <c r="AE60" i="7"/>
  <c r="I48" i="9"/>
  <c r="AE39" i="7"/>
  <c r="I27" i="9"/>
  <c r="AK39" i="7"/>
  <c r="H27" i="9"/>
  <c r="AK33" i="7"/>
  <c r="H21" i="9"/>
  <c r="AE33" i="7"/>
  <c r="I21" i="9"/>
  <c r="AK20" i="7"/>
  <c r="H8" i="9"/>
  <c r="AE20" i="7"/>
  <c r="I8" i="9"/>
  <c r="AE65" i="7"/>
  <c r="I53" i="9"/>
  <c r="AK65" i="7"/>
  <c r="H53" i="9"/>
  <c r="AE63" i="7"/>
  <c r="I51" i="9"/>
  <c r="AK63" i="7"/>
  <c r="H51" i="9"/>
  <c r="AE53" i="7"/>
  <c r="I41" i="9"/>
  <c r="AK53" i="7"/>
  <c r="H41" i="9"/>
  <c r="AK46" i="7"/>
  <c r="H34" i="9"/>
  <c r="AE46" i="7"/>
  <c r="I34" i="9"/>
  <c r="AE68" i="7"/>
  <c r="I56" i="9"/>
  <c r="AK68" i="7"/>
  <c r="H56" i="9"/>
  <c r="AK18" i="7"/>
  <c r="H6" i="9"/>
  <c r="AE18" i="7"/>
  <c r="I6" i="9"/>
  <c r="AK24" i="7"/>
  <c r="H12" i="9"/>
  <c r="AE24" i="7"/>
  <c r="I12" i="9"/>
  <c r="AE54" i="7"/>
  <c r="I42" i="9"/>
  <c r="AK54" i="7"/>
  <c r="H42" i="9"/>
  <c r="AC29" i="7"/>
  <c r="E17" i="9"/>
  <c r="AI29" i="7"/>
  <c r="D17" i="9"/>
  <c r="AI30" i="7"/>
  <c r="D18" i="9"/>
  <c r="AC30" i="7"/>
  <c r="E18" i="9"/>
  <c r="AC44" i="7"/>
  <c r="E32" i="9"/>
  <c r="AI44" i="7"/>
  <c r="D32" i="9"/>
  <c r="AI53" i="7"/>
  <c r="D41" i="9"/>
  <c r="AC53" i="7"/>
  <c r="E41" i="9"/>
  <c r="AI69" i="7"/>
  <c r="D57" i="9"/>
  <c r="AC69" i="7"/>
  <c r="E57" i="9"/>
  <c r="AI60" i="7"/>
  <c r="D48" i="9"/>
  <c r="AC60" i="7"/>
  <c r="E48" i="9"/>
  <c r="AI18" i="7"/>
  <c r="D6" i="9"/>
  <c r="AC18" i="7"/>
  <c r="E6" i="9"/>
  <c r="AI72" i="7"/>
  <c r="D60" i="9"/>
  <c r="AC72" i="7"/>
  <c r="E60" i="9"/>
  <c r="AC66" i="7"/>
  <c r="E54" i="9"/>
  <c r="AI66" i="7"/>
  <c r="D54" i="9"/>
  <c r="AC46" i="7"/>
  <c r="E34" i="9"/>
  <c r="AI46" i="7"/>
  <c r="D34" i="9"/>
  <c r="AC33" i="7"/>
  <c r="E21" i="9"/>
  <c r="AI33" i="7"/>
  <c r="D21" i="9"/>
  <c r="AC39" i="7"/>
  <c r="E27" i="9"/>
  <c r="AI39" i="7"/>
  <c r="D27" i="9"/>
  <c r="AC23" i="7"/>
  <c r="E11" i="9"/>
  <c r="AI23" i="7"/>
  <c r="D11" i="9"/>
  <c r="AC71" i="7"/>
  <c r="E59" i="9"/>
  <c r="AI71" i="7"/>
  <c r="D59" i="9"/>
  <c r="AC36" i="7"/>
  <c r="E24" i="9"/>
  <c r="AI36" i="7"/>
  <c r="D24" i="9"/>
  <c r="AI63" i="7"/>
  <c r="D51" i="9"/>
  <c r="AC63" i="7"/>
  <c r="E51" i="9"/>
  <c r="AI70" i="7"/>
  <c r="D58" i="9"/>
  <c r="AC70" i="7"/>
  <c r="E58" i="9"/>
  <c r="AI27" i="7"/>
  <c r="D15" i="9"/>
  <c r="AC27" i="7"/>
  <c r="E15" i="9"/>
  <c r="AC28" i="7"/>
  <c r="E16" i="9"/>
  <c r="AI28" i="7"/>
  <c r="D16" i="9"/>
  <c r="AC19" i="7"/>
  <c r="E7" i="9"/>
  <c r="AI19" i="7"/>
  <c r="D7" i="9"/>
  <c r="AC38" i="7"/>
  <c r="E26" i="9"/>
  <c r="AI38" i="7"/>
  <c r="D26" i="9"/>
  <c r="AI64" i="7"/>
  <c r="D52" i="9"/>
  <c r="AC64" i="7"/>
  <c r="E52" i="9"/>
  <c r="AC68" i="7"/>
  <c r="E56" i="9"/>
  <c r="AI68" i="7"/>
  <c r="D56" i="9"/>
  <c r="AI31" i="7"/>
  <c r="D19" i="9"/>
  <c r="AC31" i="7"/>
  <c r="E19" i="9"/>
  <c r="AC52" i="7"/>
  <c r="E40" i="9"/>
  <c r="AI52" i="7"/>
  <c r="D40" i="9"/>
  <c r="AI57" i="7"/>
  <c r="D45" i="9"/>
  <c r="AC57" i="7"/>
  <c r="E45" i="9"/>
  <c r="AI25" i="7"/>
  <c r="D13" i="9"/>
  <c r="AC25" i="7"/>
  <c r="E13" i="9"/>
  <c r="AF50" i="7"/>
  <c r="K38" i="9"/>
  <c r="AL50" i="7"/>
  <c r="J38" i="9"/>
  <c r="AL31" i="7"/>
  <c r="J19" i="9"/>
  <c r="AF31" i="7"/>
  <c r="K19" i="9"/>
  <c r="AL27" i="7"/>
  <c r="J15" i="9"/>
  <c r="AF27" i="7"/>
  <c r="K15" i="9"/>
  <c r="AF45" i="7"/>
  <c r="K33" i="9"/>
  <c r="AL45" i="7"/>
  <c r="J33" i="9"/>
  <c r="AF60" i="7"/>
  <c r="K48" i="9"/>
  <c r="AL60" i="7"/>
  <c r="J48" i="9"/>
  <c r="AL37" i="7"/>
  <c r="J25" i="9"/>
  <c r="AF37" i="7"/>
  <c r="K25" i="9"/>
  <c r="AF62" i="7"/>
  <c r="K50" i="9"/>
  <c r="AL62" i="7"/>
  <c r="J50" i="9"/>
  <c r="AF36" i="7"/>
  <c r="K24" i="9"/>
  <c r="AL36" i="7"/>
  <c r="J24" i="9"/>
  <c r="AF64" i="7"/>
  <c r="K52" i="9"/>
  <c r="AL64" i="7"/>
  <c r="J52" i="9"/>
  <c r="AF71" i="7"/>
  <c r="K59" i="9"/>
  <c r="AL71" i="7"/>
  <c r="J59" i="9"/>
  <c r="AF30" i="7"/>
  <c r="K18" i="9"/>
  <c r="AL30" i="7"/>
  <c r="J18" i="9"/>
  <c r="AF39" i="7"/>
  <c r="K27" i="9"/>
  <c r="AL39" i="7"/>
  <c r="J27" i="9"/>
  <c r="AL54" i="7"/>
  <c r="J42" i="9"/>
  <c r="AF54" i="7"/>
  <c r="K42" i="9"/>
  <c r="AF29" i="7"/>
  <c r="K17" i="9"/>
  <c r="AL29" i="7"/>
  <c r="J17" i="9"/>
  <c r="AF48" i="7"/>
  <c r="K36" i="9"/>
  <c r="AL48" i="7"/>
  <c r="J36" i="9"/>
  <c r="AL53" i="7"/>
  <c r="J41" i="9"/>
  <c r="AF53" i="7"/>
  <c r="K41" i="9"/>
  <c r="AF63" i="7"/>
  <c r="K51" i="9"/>
  <c r="AL63" i="7"/>
  <c r="J51" i="9"/>
  <c r="AF52" i="7"/>
  <c r="K40" i="9"/>
  <c r="AL52" i="7"/>
  <c r="J40" i="9"/>
  <c r="AL46" i="7"/>
  <c r="J34" i="9"/>
  <c r="AF46" i="7"/>
  <c r="K34" i="9"/>
  <c r="AL67" i="7"/>
  <c r="J55" i="9"/>
  <c r="AF67" i="7"/>
  <c r="K55" i="9"/>
  <c r="AF70" i="7"/>
  <c r="K58" i="9"/>
  <c r="AL70" i="7"/>
  <c r="J58" i="9"/>
  <c r="AL44" i="7"/>
  <c r="J32" i="9"/>
  <c r="AF44" i="7"/>
  <c r="K32" i="9"/>
  <c r="AL34" i="7"/>
  <c r="J22" i="9"/>
  <c r="AF34" i="7"/>
  <c r="K22" i="9"/>
  <c r="AF26" i="7"/>
  <c r="K14" i="9"/>
  <c r="AL26" i="7"/>
  <c r="J14" i="9"/>
  <c r="AL56" i="7"/>
  <c r="J44" i="9"/>
  <c r="AF56" i="7"/>
  <c r="K44" i="9"/>
  <c r="AL68" i="7"/>
  <c r="J56" i="9"/>
  <c r="AF68" i="7"/>
  <c r="K56" i="9"/>
  <c r="AF51" i="7"/>
  <c r="K39" i="9"/>
  <c r="AL51" i="7"/>
  <c r="J39" i="9"/>
  <c r="AF55" i="7"/>
  <c r="K43" i="9"/>
  <c r="AL55" i="7"/>
  <c r="J43" i="9"/>
  <c r="AD24" i="7"/>
  <c r="G12" i="9"/>
  <c r="AJ24" i="7"/>
  <c r="F12" i="9"/>
  <c r="AD50" i="7"/>
  <c r="G38" i="9"/>
  <c r="AJ50" i="7"/>
  <c r="F38" i="9"/>
  <c r="AJ36" i="7"/>
  <c r="F24" i="9"/>
  <c r="AD36" i="7"/>
  <c r="G24" i="9"/>
  <c r="AJ46" i="7"/>
  <c r="F34" i="9"/>
  <c r="AD46" i="7"/>
  <c r="G34" i="9"/>
  <c r="AJ59" i="7"/>
  <c r="F47" i="9"/>
  <c r="AD59" i="7"/>
  <c r="G47" i="9"/>
  <c r="AJ42" i="7"/>
  <c r="F30" i="9"/>
  <c r="AD42" i="7"/>
  <c r="G30" i="9"/>
  <c r="AD34" i="7"/>
  <c r="G22" i="9"/>
  <c r="AJ34" i="7"/>
  <c r="F22" i="9"/>
  <c r="AJ39" i="7"/>
  <c r="F27" i="9"/>
  <c r="AD39" i="7"/>
  <c r="G27" i="9"/>
  <c r="AD54" i="7"/>
  <c r="G42" i="9"/>
  <c r="AJ54" i="7"/>
  <c r="F42" i="9"/>
  <c r="AD67" i="7"/>
  <c r="G55" i="9"/>
  <c r="AJ67" i="7"/>
  <c r="F55" i="9"/>
  <c r="AJ60" i="7"/>
  <c r="F48" i="9"/>
  <c r="AD60" i="7"/>
  <c r="G48" i="9"/>
  <c r="AJ23" i="7"/>
  <c r="F11" i="9"/>
  <c r="AD23" i="7"/>
  <c r="G11" i="9"/>
  <c r="AJ45" i="7"/>
  <c r="F33" i="9"/>
  <c r="AD45" i="7"/>
  <c r="G33" i="9"/>
  <c r="AJ48" i="7"/>
  <c r="F36" i="9"/>
  <c r="AD48" i="7"/>
  <c r="G36" i="9"/>
  <c r="AJ33" i="7"/>
  <c r="F21" i="9"/>
  <c r="AD33" i="7"/>
  <c r="G21" i="9"/>
  <c r="AD37" i="7"/>
  <c r="G25" i="9"/>
  <c r="AJ37" i="7"/>
  <c r="F25" i="9"/>
  <c r="AJ21" i="7"/>
  <c r="F9" i="9"/>
  <c r="AD21" i="7"/>
  <c r="G9" i="9"/>
  <c r="AJ49" i="7"/>
  <c r="F37" i="9"/>
  <c r="AD49" i="7"/>
  <c r="G37" i="9"/>
  <c r="AJ26" i="7"/>
  <c r="F14" i="9"/>
  <c r="AD26" i="7"/>
  <c r="G14" i="9"/>
  <c r="AD44" i="7"/>
  <c r="G32" i="9"/>
  <c r="AJ44" i="7"/>
  <c r="F32" i="9"/>
  <c r="AJ61" i="7"/>
  <c r="F49" i="9"/>
  <c r="AD61" i="7"/>
  <c r="G49" i="9"/>
  <c r="AD71" i="7"/>
  <c r="G59" i="9"/>
  <c r="AJ71" i="7"/>
  <c r="F59" i="9"/>
  <c r="AD66" i="7"/>
  <c r="G54" i="9"/>
  <c r="AJ66" i="7"/>
  <c r="F54" i="9"/>
  <c r="AD58" i="7"/>
  <c r="G46" i="9"/>
  <c r="AJ58" i="7"/>
  <c r="F46" i="9"/>
  <c r="AJ35" i="7"/>
  <c r="F23" i="9"/>
  <c r="AD35" i="7"/>
  <c r="G23" i="9"/>
  <c r="AD68" i="7"/>
  <c r="G56" i="9"/>
  <c r="AJ68" i="7"/>
  <c r="F56" i="9"/>
  <c r="AD25" i="7"/>
  <c r="G13" i="9"/>
  <c r="AJ25" i="7"/>
  <c r="F13" i="9"/>
  <c r="AJ30" i="7"/>
  <c r="F18" i="9"/>
  <c r="AD30" i="7"/>
  <c r="G18" i="9"/>
  <c r="AG48" i="7"/>
  <c r="M36" i="9"/>
  <c r="AM48" i="7"/>
  <c r="L36" i="9"/>
  <c r="AG58" i="7"/>
  <c r="M46" i="9"/>
  <c r="AM58" i="7"/>
  <c r="L46" i="9"/>
  <c r="AG32" i="7"/>
  <c r="M20" i="9"/>
  <c r="AM32" i="7"/>
  <c r="L20" i="9"/>
  <c r="AM52" i="7"/>
  <c r="L40" i="9"/>
  <c r="AG52" i="7"/>
  <c r="M40" i="9"/>
  <c r="AG62" i="7"/>
  <c r="M50" i="9"/>
  <c r="AM62" i="7"/>
  <c r="L50" i="9"/>
  <c r="AG19" i="7"/>
  <c r="M7" i="9"/>
  <c r="AM19" i="7"/>
  <c r="L7" i="9"/>
  <c r="AM50" i="7"/>
  <c r="L38" i="9"/>
  <c r="AG50" i="7"/>
  <c r="M38" i="9"/>
  <c r="AG26" i="7"/>
  <c r="M14" i="9"/>
  <c r="AM26" i="7"/>
  <c r="L14" i="9"/>
  <c r="AM34" i="7"/>
  <c r="L22" i="9"/>
  <c r="AG34" i="7"/>
  <c r="M22" i="9"/>
  <c r="AM43" i="7"/>
  <c r="L31" i="9"/>
  <c r="AG43" i="7"/>
  <c r="M31" i="9"/>
  <c r="AM28" i="7"/>
  <c r="L16" i="9"/>
  <c r="AG28" i="7"/>
  <c r="M16" i="9"/>
  <c r="AG41" i="7"/>
  <c r="M29" i="9"/>
  <c r="AM41" i="7"/>
  <c r="L29" i="9"/>
  <c r="AG66" i="7"/>
  <c r="M54" i="9"/>
  <c r="AM66" i="7"/>
  <c r="L54" i="9"/>
  <c r="AM71" i="7"/>
  <c r="L59" i="9"/>
  <c r="AG71" i="7"/>
  <c r="M59" i="9"/>
  <c r="AM47" i="7"/>
  <c r="L35" i="9"/>
  <c r="AG47" i="7"/>
  <c r="M35" i="9"/>
  <c r="AM21" i="7"/>
  <c r="L9" i="9"/>
  <c r="AG21" i="7"/>
  <c r="M9" i="9"/>
  <c r="AM54" i="7"/>
  <c r="L42" i="9"/>
  <c r="AG54" i="7"/>
  <c r="M42" i="9"/>
  <c r="AM68" i="7"/>
  <c r="L56" i="9"/>
  <c r="AG68" i="7"/>
  <c r="M56" i="9"/>
  <c r="AG53" i="7"/>
  <c r="M41" i="9"/>
  <c r="AM53" i="7"/>
  <c r="L41" i="9"/>
  <c r="AG35" i="7"/>
  <c r="M23" i="9"/>
  <c r="AM35" i="7"/>
  <c r="L23" i="9"/>
  <c r="AM30" i="7"/>
  <c r="L18" i="9"/>
  <c r="AG30" i="7"/>
  <c r="M18" i="9"/>
  <c r="AM42" i="7"/>
  <c r="L30" i="9"/>
  <c r="AG42" i="7"/>
  <c r="M30" i="9"/>
  <c r="AG37" i="7"/>
  <c r="M25" i="9"/>
  <c r="AM37" i="7"/>
  <c r="L25" i="9"/>
  <c r="AG65" i="7"/>
  <c r="M53" i="9"/>
  <c r="AM65" i="7"/>
  <c r="L53" i="9"/>
  <c r="AM29" i="7"/>
  <c r="L17" i="9"/>
  <c r="AG29" i="7"/>
  <c r="M17" i="9"/>
  <c r="AM39" i="7"/>
  <c r="L27" i="9"/>
  <c r="AG39" i="7"/>
  <c r="M27" i="9"/>
  <c r="AM23" i="7"/>
  <c r="L11" i="9"/>
  <c r="AG23" i="7"/>
  <c r="M11" i="9"/>
  <c r="AG20" i="7"/>
  <c r="M8" i="9"/>
  <c r="AM20" i="7"/>
  <c r="L8" i="9"/>
  <c r="AE67" i="7"/>
  <c r="I55" i="9"/>
  <c r="AK67" i="7"/>
  <c r="H55" i="9"/>
  <c r="AE57" i="7"/>
  <c r="I45" i="9"/>
  <c r="AK57" i="7"/>
  <c r="H45" i="9"/>
  <c r="AK38" i="7"/>
  <c r="H26" i="9"/>
  <c r="AE38" i="7"/>
  <c r="I26" i="9"/>
  <c r="AE27" i="7"/>
  <c r="I15" i="9"/>
  <c r="AK27" i="7"/>
  <c r="H15" i="9"/>
  <c r="AK66" i="7"/>
  <c r="H54" i="9"/>
  <c r="AE66" i="7"/>
  <c r="I54" i="9"/>
  <c r="AK30" i="7"/>
  <c r="H18" i="9"/>
  <c r="AE30" i="7"/>
  <c r="I18" i="9"/>
  <c r="AK72" i="7"/>
  <c r="H60" i="9"/>
  <c r="AE72" i="7"/>
  <c r="I60" i="9"/>
  <c r="AE43" i="7"/>
  <c r="I31" i="9"/>
  <c r="AK43" i="7"/>
  <c r="H31" i="9"/>
  <c r="AK56" i="7"/>
  <c r="H44" i="9"/>
  <c r="AE56" i="7"/>
  <c r="I44" i="9"/>
  <c r="AE55" i="7"/>
  <c r="I43" i="9"/>
  <c r="AK55" i="7"/>
  <c r="H43" i="9"/>
  <c r="AE62" i="7"/>
  <c r="I50" i="9"/>
  <c r="AK62" i="7"/>
  <c r="H50" i="9"/>
  <c r="AK64" i="7"/>
  <c r="H52" i="9"/>
  <c r="AE64" i="7"/>
  <c r="I52" i="9"/>
  <c r="AK71" i="7"/>
  <c r="H59" i="9"/>
  <c r="AE71" i="7"/>
  <c r="I59" i="9"/>
  <c r="AE59" i="7"/>
  <c r="I47" i="9"/>
  <c r="AK59" i="7"/>
  <c r="H47" i="9"/>
  <c r="AE50" i="7"/>
  <c r="I38" i="9"/>
  <c r="AK50" i="7"/>
  <c r="H38" i="9"/>
  <c r="AK40" i="7"/>
  <c r="H28" i="9"/>
  <c r="AE40" i="7"/>
  <c r="I28" i="9"/>
  <c r="AE32" i="7"/>
  <c r="I20" i="9"/>
  <c r="AK32" i="7"/>
  <c r="H20" i="9"/>
  <c r="AK21" i="7"/>
  <c r="H9" i="9"/>
  <c r="AE21" i="7"/>
  <c r="I9" i="9"/>
  <c r="AK51" i="7"/>
  <c r="H39" i="9"/>
  <c r="AE51" i="7"/>
  <c r="I39" i="9"/>
  <c r="AE48" i="7"/>
  <c r="I36" i="9"/>
  <c r="AK48" i="7"/>
  <c r="H36" i="9"/>
  <c r="AE47" i="7"/>
  <c r="I35" i="9"/>
  <c r="AK47" i="7"/>
  <c r="H35" i="9"/>
  <c r="AE28" i="7"/>
  <c r="I16" i="9"/>
  <c r="AK28" i="7"/>
  <c r="H16" i="9"/>
  <c r="AK19" i="7"/>
  <c r="H7" i="9"/>
  <c r="AE19" i="7"/>
  <c r="I7" i="9"/>
  <c r="AE25" i="7"/>
  <c r="I13" i="9"/>
  <c r="AK25" i="7"/>
  <c r="H13" i="9"/>
  <c r="AK41" i="7"/>
  <c r="H29" i="9"/>
  <c r="AE41" i="7"/>
  <c r="I29" i="9"/>
  <c r="AK70" i="7"/>
  <c r="H58" i="9"/>
  <c r="AE70" i="7"/>
  <c r="I58" i="9"/>
  <c r="AK52" i="7"/>
  <c r="H40" i="9"/>
  <c r="AE52" i="7"/>
  <c r="I40" i="9"/>
  <c r="AI59" i="7"/>
  <c r="D47" i="9"/>
  <c r="AC59" i="7"/>
  <c r="E47" i="9"/>
  <c r="AC49" i="7"/>
  <c r="E37" i="9"/>
  <c r="AI49" i="7"/>
  <c r="D37" i="9"/>
  <c r="AC41" i="7"/>
  <c r="E29" i="9"/>
  <c r="AI41" i="7"/>
  <c r="D29" i="9"/>
  <c r="AC54" i="7"/>
  <c r="E42" i="9"/>
  <c r="AI54" i="7"/>
  <c r="D42" i="9"/>
  <c r="AI50" i="7"/>
  <c r="D38" i="9"/>
  <c r="AC50" i="7"/>
  <c r="E38" i="9"/>
  <c r="AC65" i="7"/>
  <c r="E53" i="9"/>
  <c r="AI65" i="7"/>
  <c r="D53" i="9"/>
  <c r="AI20" i="7"/>
  <c r="D8" i="9"/>
  <c r="AC20" i="7"/>
  <c r="E8" i="9"/>
  <c r="AC58" i="7"/>
  <c r="E46" i="9"/>
  <c r="AI58" i="7"/>
  <c r="D46" i="9"/>
  <c r="AC47" i="7"/>
  <c r="E35" i="9"/>
  <c r="AI47" i="7"/>
  <c r="D35" i="9"/>
  <c r="AI26" i="7"/>
  <c r="D14" i="9"/>
  <c r="AC26" i="7"/>
  <c r="E14" i="9"/>
  <c r="AI34" i="7"/>
  <c r="D22" i="9"/>
  <c r="AC34" i="7"/>
  <c r="E22" i="9"/>
  <c r="AC51" i="7"/>
  <c r="E39" i="9"/>
  <c r="AI51" i="7"/>
  <c r="D39" i="9"/>
  <c r="AI61" i="7"/>
  <c r="D49" i="9"/>
  <c r="AC61" i="7"/>
  <c r="E49" i="9"/>
  <c r="AC22" i="7"/>
  <c r="E10" i="9"/>
  <c r="AI22" i="7"/>
  <c r="D10" i="9"/>
  <c r="AC67" i="7"/>
  <c r="E55" i="9"/>
  <c r="AI67" i="7"/>
  <c r="D55" i="9"/>
  <c r="AC40" i="7"/>
  <c r="E28" i="9"/>
  <c r="AI40" i="7"/>
  <c r="D28" i="9"/>
  <c r="AI35" i="7"/>
  <c r="D23" i="9"/>
  <c r="AC35" i="7"/>
  <c r="E23" i="9"/>
  <c r="AC32" i="7"/>
  <c r="E20" i="9"/>
  <c r="AI32" i="7"/>
  <c r="D20" i="9"/>
  <c r="AC55" i="7"/>
  <c r="E43" i="9"/>
  <c r="AI55" i="7"/>
  <c r="D43" i="9"/>
  <c r="AI43" i="7"/>
  <c r="D31" i="9"/>
  <c r="AC43" i="7"/>
  <c r="E31" i="9"/>
  <c r="AC24" i="7"/>
  <c r="E12" i="9"/>
  <c r="AI24" i="7"/>
  <c r="D12" i="9"/>
  <c r="AC42" i="7"/>
  <c r="E30" i="9"/>
  <c r="AI42" i="7"/>
  <c r="D30" i="9"/>
  <c r="AI37" i="7"/>
  <c r="D25" i="9"/>
  <c r="AC37" i="7"/>
  <c r="E25" i="9"/>
  <c r="AI48" i="7"/>
  <c r="D36" i="9"/>
  <c r="AC48" i="7"/>
  <c r="E36" i="9"/>
  <c r="AI62" i="7"/>
  <c r="D50" i="9"/>
  <c r="AC62" i="7"/>
  <c r="E50" i="9"/>
  <c r="AI56" i="7"/>
  <c r="D44" i="9"/>
  <c r="AC56" i="7"/>
  <c r="E44" i="9"/>
  <c r="AI45" i="7"/>
  <c r="D33" i="9"/>
  <c r="AC45" i="7"/>
  <c r="E33" i="9"/>
  <c r="AI21" i="7"/>
  <c r="D9" i="9"/>
  <c r="AC21" i="7"/>
  <c r="E9" i="9"/>
  <c r="AL43" i="7"/>
  <c r="J31" i="9"/>
  <c r="AF43" i="7"/>
  <c r="K31" i="9"/>
  <c r="AF32" i="7"/>
  <c r="K20" i="9"/>
  <c r="AL32" i="7"/>
  <c r="J20" i="9"/>
  <c r="AF40" i="7"/>
  <c r="K28" i="9"/>
  <c r="AL40" i="7"/>
  <c r="J28" i="9"/>
  <c r="AL21" i="7"/>
  <c r="J9" i="9"/>
  <c r="AF21" i="7"/>
  <c r="K9" i="9"/>
  <c r="AF66" i="7"/>
  <c r="K54" i="9"/>
  <c r="AL66" i="7"/>
  <c r="J54" i="9"/>
  <c r="AF69" i="7"/>
  <c r="K57" i="9"/>
  <c r="AL69" i="7"/>
  <c r="J57" i="9"/>
  <c r="AL28" i="7"/>
  <c r="J16" i="9"/>
  <c r="AF28" i="7"/>
  <c r="K16" i="9"/>
  <c r="AF23" i="7"/>
  <c r="K11" i="9"/>
  <c r="AL23" i="7"/>
  <c r="J11" i="9"/>
  <c r="AL65" i="7"/>
  <c r="J53" i="9"/>
  <c r="AF65" i="7"/>
  <c r="K53" i="9"/>
  <c r="AL19" i="7"/>
  <c r="J7" i="9"/>
  <c r="AF19" i="7"/>
  <c r="K7" i="9"/>
  <c r="AL33" i="7"/>
  <c r="J21" i="9"/>
  <c r="AF33" i="7"/>
  <c r="K21" i="9"/>
  <c r="AL42" i="7"/>
  <c r="J30" i="9"/>
  <c r="AF42" i="7"/>
  <c r="K30" i="9"/>
  <c r="AL59" i="7"/>
  <c r="J47" i="9"/>
  <c r="AF59" i="7"/>
  <c r="K47" i="9"/>
  <c r="AL24" i="7"/>
  <c r="J12" i="9"/>
  <c r="AF24" i="7"/>
  <c r="K12" i="9"/>
  <c r="AL38" i="7"/>
  <c r="J26" i="9"/>
  <c r="AF38" i="7"/>
  <c r="K26" i="9"/>
  <c r="AF47" i="7"/>
  <c r="K35" i="9"/>
  <c r="AL47" i="7"/>
  <c r="J35" i="9"/>
  <c r="AF41" i="7"/>
  <c r="K29" i="9"/>
  <c r="AL41" i="7"/>
  <c r="J29" i="9"/>
  <c r="AL61" i="7"/>
  <c r="J49" i="9"/>
  <c r="AF61" i="7"/>
  <c r="K49" i="9"/>
  <c r="AL57" i="7"/>
  <c r="J45" i="9"/>
  <c r="AF57" i="7"/>
  <c r="K45" i="9"/>
  <c r="AL35" i="7"/>
  <c r="J23" i="9"/>
  <c r="AF35" i="7"/>
  <c r="K23" i="9"/>
  <c r="AF72" i="7"/>
  <c r="K60" i="9"/>
  <c r="AL72" i="7"/>
  <c r="J60" i="9"/>
  <c r="AL25" i="7"/>
  <c r="J13" i="9"/>
  <c r="AF25" i="7"/>
  <c r="K13" i="9"/>
  <c r="AF58" i="7"/>
  <c r="K46" i="9"/>
  <c r="AL58" i="7"/>
  <c r="J46" i="9"/>
  <c r="AL20" i="7"/>
  <c r="J8" i="9"/>
  <c r="AF20" i="7"/>
  <c r="K8" i="9"/>
  <c r="AF18" i="7"/>
  <c r="K6" i="9"/>
  <c r="AL18" i="7"/>
  <c r="J6" i="9"/>
  <c r="AL22" i="7"/>
  <c r="J10" i="9"/>
  <c r="AF22" i="7"/>
  <c r="K10" i="9"/>
  <c r="AF49" i="7"/>
  <c r="K37" i="9"/>
  <c r="AL49" i="7"/>
  <c r="J37" i="9"/>
  <c r="R32" i="15"/>
  <c r="BJ35" i="12"/>
  <c r="R38" i="15"/>
  <c r="BJ41" i="12"/>
  <c r="R5" i="15"/>
  <c r="BJ8" i="12"/>
  <c r="R29" i="15"/>
  <c r="R48"/>
  <c r="BJ51" i="12"/>
  <c r="R40" i="15"/>
  <c r="BJ43" i="12"/>
  <c r="M51" i="15"/>
  <c r="M11"/>
  <c r="M8"/>
  <c r="M56"/>
  <c r="M39"/>
  <c r="W22"/>
  <c r="W44"/>
  <c r="W8"/>
  <c r="W32"/>
  <c r="W52"/>
  <c r="W9"/>
  <c r="BS8" i="12"/>
  <c r="BS9"/>
  <c r="BS10"/>
  <c r="BS11"/>
  <c r="BS12"/>
  <c r="V66" i="15"/>
  <c r="W31"/>
  <c r="W45"/>
  <c r="W20"/>
  <c r="M28"/>
  <c r="M27"/>
  <c r="M15"/>
  <c r="M22"/>
  <c r="BA19" i="12"/>
  <c r="BA20"/>
  <c r="BA21"/>
  <c r="BA22"/>
  <c r="BA23"/>
  <c r="BA24"/>
  <c r="BA25"/>
  <c r="M47" i="15"/>
  <c r="M55"/>
  <c r="M7"/>
  <c r="W38"/>
  <c r="W29"/>
  <c r="W37"/>
  <c r="W13"/>
  <c r="W11"/>
  <c r="W16"/>
  <c r="W19"/>
  <c r="W41"/>
  <c r="W33"/>
  <c r="BS36" i="12"/>
  <c r="W21" i="15"/>
  <c r="W50"/>
  <c r="W58"/>
  <c r="W56"/>
  <c r="R26"/>
  <c r="BJ29" i="12"/>
  <c r="R16" i="15"/>
  <c r="BJ18" i="12"/>
  <c r="BJ19"/>
  <c r="R13" i="15"/>
  <c r="BJ16" i="12"/>
  <c r="R52" i="15"/>
  <c r="BJ55" i="12"/>
  <c r="R43" i="15"/>
  <c r="BJ46" i="12"/>
  <c r="R8" i="15"/>
  <c r="BJ11" i="12"/>
  <c r="R19" i="15"/>
  <c r="BJ22" i="12"/>
  <c r="R49" i="15"/>
  <c r="BJ52" i="12"/>
  <c r="R22" i="15"/>
  <c r="BJ25" i="12"/>
  <c r="R47" i="15"/>
  <c r="BJ50" i="12"/>
  <c r="R44" i="15"/>
  <c r="BJ47" i="12"/>
  <c r="R24" i="15"/>
  <c r="BJ27" i="12"/>
  <c r="R36" i="15"/>
  <c r="BJ39" i="12"/>
  <c r="BJ40"/>
  <c r="BL40"/>
  <c r="P37" i="15"/>
  <c r="R51"/>
  <c r="BJ54" i="12"/>
  <c r="R54" i="15"/>
  <c r="BJ57" i="12"/>
  <c r="R23" i="15"/>
  <c r="BJ26" i="12"/>
  <c r="BL26"/>
  <c r="P23" i="15"/>
  <c r="R10"/>
  <c r="BJ13" i="12"/>
  <c r="R41" i="15"/>
  <c r="BJ44" i="12"/>
  <c r="M52" i="15"/>
  <c r="M26"/>
  <c r="M49"/>
  <c r="BA52" i="12"/>
  <c r="M29" i="15"/>
  <c r="BA32" i="12"/>
  <c r="M6" i="15"/>
  <c r="BA9" i="12"/>
  <c r="M19" i="15"/>
  <c r="M45"/>
  <c r="M50"/>
  <c r="BA53" i="12"/>
  <c r="M30" i="15"/>
  <c r="BA33" i="12"/>
  <c r="M9" i="15"/>
  <c r="M37"/>
  <c r="M48"/>
  <c r="W48"/>
  <c r="W25"/>
  <c r="W12"/>
  <c r="W54"/>
  <c r="W15"/>
  <c r="W42"/>
  <c r="W30"/>
  <c r="W5"/>
  <c r="W55"/>
  <c r="BS58" i="12"/>
  <c r="W10" i="15"/>
  <c r="BS13" i="12"/>
  <c r="W35" i="15"/>
  <c r="W26"/>
  <c r="R27"/>
  <c r="BJ30" i="12"/>
  <c r="R31" i="15"/>
  <c r="R37"/>
  <c r="R11"/>
  <c r="BJ14" i="12"/>
  <c r="R46" i="15"/>
  <c r="BJ49" i="12"/>
  <c r="R53" i="15"/>
  <c r="BJ56" i="12"/>
  <c r="BL56"/>
  <c r="P53" i="15"/>
  <c r="R20"/>
  <c r="BJ23" i="12"/>
  <c r="R28" i="15"/>
  <c r="BJ31" i="12"/>
  <c r="R34" i="15"/>
  <c r="BJ37" i="12"/>
  <c r="R42" i="15"/>
  <c r="BJ45" i="12"/>
  <c r="BL45"/>
  <c r="P42" i="15"/>
  <c r="R6"/>
  <c r="BJ9" i="12"/>
  <c r="R18" i="15"/>
  <c r="BJ21" i="12"/>
  <c r="R15" i="15"/>
  <c r="R39"/>
  <c r="BJ42" i="12"/>
  <c r="BL42"/>
  <c r="P39" i="15"/>
  <c r="R33"/>
  <c r="BJ36" i="12"/>
  <c r="BL36"/>
  <c r="P33" i="15"/>
  <c r="R55"/>
  <c r="BJ58" i="12"/>
  <c r="R12" i="15"/>
  <c r="BJ15" i="12"/>
  <c r="BL15"/>
  <c r="P12" i="15"/>
  <c r="R30"/>
  <c r="BJ33" i="12"/>
  <c r="R56" i="15"/>
  <c r="BJ59" i="12"/>
  <c r="R57" i="15"/>
  <c r="BJ60" i="12"/>
  <c r="R45" i="15"/>
  <c r="BJ48" i="12"/>
  <c r="BL48"/>
  <c r="P45" i="15"/>
  <c r="M57"/>
  <c r="BA60" i="12"/>
  <c r="M40" i="15"/>
  <c r="M16"/>
  <c r="BA16" i="12"/>
  <c r="BA17"/>
  <c r="BA18"/>
  <c r="M21" i="15"/>
  <c r="M23"/>
  <c r="BA26" i="12"/>
  <c r="BA27"/>
  <c r="M32" i="15"/>
  <c r="M35"/>
  <c r="M58"/>
  <c r="BA61" i="12"/>
  <c r="BC61"/>
  <c r="K58" i="15"/>
  <c r="M25"/>
  <c r="M14"/>
  <c r="M46"/>
  <c r="BA49" i="12"/>
  <c r="M34" i="15"/>
  <c r="M17"/>
  <c r="M20"/>
  <c r="M10"/>
  <c r="BA13" i="12"/>
  <c r="M36" i="15"/>
  <c r="M18"/>
  <c r="M24"/>
  <c r="M38"/>
  <c r="BA41" i="12"/>
  <c r="M54" i="15"/>
  <c r="M44"/>
  <c r="M42"/>
  <c r="M53"/>
  <c r="BA56" i="12"/>
  <c r="W18" i="15"/>
  <c r="W6"/>
  <c r="W57"/>
  <c r="W23"/>
  <c r="BS20" i="12"/>
  <c r="BS21"/>
  <c r="BS22"/>
  <c r="BS23"/>
  <c r="BS24"/>
  <c r="BS25"/>
  <c r="BS26"/>
  <c r="W43" i="15"/>
  <c r="BS46" i="12"/>
  <c r="W14" i="15"/>
  <c r="BS14" i="12"/>
  <c r="BS15"/>
  <c r="BS16"/>
  <c r="BS17"/>
  <c r="W27" i="15"/>
  <c r="W46"/>
  <c r="W47"/>
  <c r="W51"/>
  <c r="W34"/>
  <c r="BS37" i="12"/>
  <c r="W24" i="15"/>
  <c r="BS27" i="12"/>
  <c r="W36" i="15"/>
  <c r="W53"/>
  <c r="W39"/>
  <c r="W49"/>
  <c r="W66"/>
  <c r="U66"/>
  <c r="M5"/>
  <c r="BA8" i="12"/>
  <c r="M13" i="15"/>
  <c r="W17"/>
  <c r="BS18" i="12"/>
  <c r="BS19"/>
  <c r="W7" i="15"/>
  <c r="R35"/>
  <c r="BJ38" i="12"/>
  <c r="BL38"/>
  <c r="P35" i="15"/>
  <c r="R21"/>
  <c r="BJ24" i="12"/>
  <c r="BL24"/>
  <c r="P21" i="15"/>
  <c r="R50"/>
  <c r="BJ53" i="12"/>
  <c r="BL53"/>
  <c r="P50" i="15"/>
  <c r="R58"/>
  <c r="BJ61" i="12"/>
  <c r="BL61"/>
  <c r="P58" i="15"/>
  <c r="R9"/>
  <c r="BJ12" i="12"/>
  <c r="BL12"/>
  <c r="P9" i="15"/>
  <c r="R17"/>
  <c r="BJ20" i="12"/>
  <c r="BL20"/>
  <c r="P17" i="15"/>
  <c r="R14"/>
  <c r="BJ17" i="12"/>
  <c r="BL17"/>
  <c r="P14" i="15"/>
  <c r="R7"/>
  <c r="BJ10" i="12"/>
  <c r="BL10"/>
  <c r="P7" i="15"/>
  <c r="R25"/>
  <c r="BJ28" i="12"/>
  <c r="BL28"/>
  <c r="P25" i="15"/>
  <c r="M12"/>
  <c r="M33"/>
  <c r="M41"/>
  <c r="M31"/>
  <c r="BA34" i="12"/>
  <c r="BA35"/>
  <c r="M43" i="15"/>
  <c r="W40"/>
  <c r="W28"/>
  <c r="O8" i="29"/>
  <c r="BV12"/>
  <c r="AB10" i="30"/>
  <c r="AC10"/>
  <c r="O15" i="29"/>
  <c r="O16"/>
  <c r="M8" i="30"/>
  <c r="M6"/>
  <c r="AN8" i="29"/>
  <c r="O13"/>
  <c r="O12"/>
  <c r="AQ9"/>
  <c r="L7" i="30"/>
  <c r="AR9" i="29"/>
  <c r="AN10"/>
  <c r="J7" i="30"/>
  <c r="AS9" i="29"/>
  <c r="BP25"/>
  <c r="BR25"/>
  <c r="Y23" i="30"/>
  <c r="BR7" i="29"/>
  <c r="Y5" i="30"/>
  <c r="BR8" i="29"/>
  <c r="Y6" i="30"/>
  <c r="BP12" i="29"/>
  <c r="BD15"/>
  <c r="R13" i="30"/>
  <c r="BD14" i="29"/>
  <c r="R12" i="30"/>
  <c r="AA8"/>
  <c r="BP10" i="29"/>
  <c r="BD12"/>
  <c r="R10" i="30"/>
  <c r="BP17" i="29"/>
  <c r="BR17"/>
  <c r="Y15" i="30"/>
  <c r="O19" i="29"/>
  <c r="M22" i="30"/>
  <c r="AN24" i="29"/>
  <c r="T19" i="30"/>
  <c r="BB21" i="29"/>
  <c r="BD21"/>
  <c r="R19" i="30"/>
  <c r="M11"/>
  <c r="AN13" i="29"/>
  <c r="AC8" i="30"/>
  <c r="BV10" i="29"/>
  <c r="AB8" i="30"/>
  <c r="BD7" i="29"/>
  <c r="R5" i="30"/>
  <c r="BD8" i="29"/>
  <c r="R6" i="30"/>
  <c r="BD10" i="29"/>
  <c r="R8" i="30"/>
  <c r="BD9" i="29"/>
  <c r="R7" i="30"/>
  <c r="BB18" i="29"/>
  <c r="BD17"/>
  <c r="R15" i="30"/>
  <c r="M21" i="29"/>
  <c r="O20"/>
  <c r="O14"/>
  <c r="BR26"/>
  <c r="Y24" i="30"/>
  <c r="BD13" i="29"/>
  <c r="R11" i="30"/>
  <c r="AN17" i="29"/>
  <c r="AN18"/>
  <c r="AN25"/>
  <c r="AN26"/>
  <c r="BD23"/>
  <c r="R21" i="30"/>
  <c r="AP23" i="29"/>
  <c r="K21" i="30"/>
  <c r="BP19" i="29"/>
  <c r="AN14"/>
  <c r="AN15"/>
  <c r="BD20"/>
  <c r="R18" i="30"/>
  <c r="BD25" i="29"/>
  <c r="R23" i="30"/>
  <c r="O10" i="29"/>
  <c r="AT8"/>
  <c r="N6" i="30"/>
  <c r="O6"/>
  <c r="O22"/>
  <c r="AT24" i="29"/>
  <c r="N22" i="30"/>
  <c r="BH21" i="29"/>
  <c r="U19" i="30"/>
  <c r="V19"/>
  <c r="O11"/>
  <c r="AT13" i="29"/>
  <c r="N11" i="30"/>
  <c r="AT10" i="29"/>
  <c r="N8" i="30"/>
  <c r="O8"/>
  <c r="BA36" i="12"/>
  <c r="BC35"/>
  <c r="K32" i="15"/>
  <c r="BU7" i="12"/>
  <c r="U4" i="15"/>
  <c r="BU8" i="12"/>
  <c r="U5" i="15"/>
  <c r="BA57" i="12"/>
  <c r="BC20"/>
  <c r="K17" i="15"/>
  <c r="BA28" i="12"/>
  <c r="BC26"/>
  <c r="K23" i="15"/>
  <c r="BL60" i="12"/>
  <c r="P57" i="15"/>
  <c r="BL59" i="12"/>
  <c r="P56" i="15"/>
  <c r="BL58" i="12"/>
  <c r="P55" i="15"/>
  <c r="BL18" i="12"/>
  <c r="P15" i="15"/>
  <c r="BL21" i="12"/>
  <c r="P18" i="15"/>
  <c r="BL9" i="12"/>
  <c r="P6" i="15"/>
  <c r="BL37" i="12"/>
  <c r="P34" i="15"/>
  <c r="BL23" i="12"/>
  <c r="P20" i="15"/>
  <c r="BL49" i="12"/>
  <c r="P46" i="15"/>
  <c r="BL14" i="12"/>
  <c r="P11" i="15"/>
  <c r="BJ34" i="12"/>
  <c r="BL34"/>
  <c r="P31" i="15"/>
  <c r="BL30" i="12"/>
  <c r="P27" i="15"/>
  <c r="BS38" i="12"/>
  <c r="BS28"/>
  <c r="BC33"/>
  <c r="K30" i="15"/>
  <c r="BC21" i="12"/>
  <c r="K18" i="15"/>
  <c r="BL44" i="12"/>
  <c r="P41" i="15"/>
  <c r="BL13" i="12"/>
  <c r="P10" i="15"/>
  <c r="BL57" i="12"/>
  <c r="P54" i="15"/>
  <c r="BL54" i="12"/>
  <c r="P51" i="15"/>
  <c r="BL39" i="12"/>
  <c r="P36" i="15"/>
  <c r="BL27" i="12"/>
  <c r="P24" i="15"/>
  <c r="BL47" i="12"/>
  <c r="P44" i="15"/>
  <c r="BL50" i="12"/>
  <c r="P47" i="15"/>
  <c r="BL25" i="12"/>
  <c r="P22" i="15"/>
  <c r="BL52" i="12"/>
  <c r="P49" i="15"/>
  <c r="BL22" i="12"/>
  <c r="P19" i="15"/>
  <c r="BL11" i="12"/>
  <c r="P8" i="15"/>
  <c r="BL46" i="12"/>
  <c r="P43" i="15"/>
  <c r="BL55" i="12"/>
  <c r="P52" i="15"/>
  <c r="BL16" i="12"/>
  <c r="P13" i="15"/>
  <c r="BL19" i="12"/>
  <c r="P16" i="15"/>
  <c r="BL29" i="12"/>
  <c r="P26" i="15"/>
  <c r="BS59" i="12"/>
  <c r="BA10"/>
  <c r="BC9"/>
  <c r="K6" i="15"/>
  <c r="BA50" i="12"/>
  <c r="BC18"/>
  <c r="K15" i="15"/>
  <c r="BC7" i="12"/>
  <c r="K4" i="15"/>
  <c r="BC8" i="12"/>
  <c r="K5" i="15"/>
  <c r="BL7" i="12"/>
  <c r="P4" i="15"/>
  <c r="BL8" i="12"/>
  <c r="P5" i="15"/>
  <c r="BC34" i="12"/>
  <c r="K31" i="15"/>
  <c r="BS47" i="12"/>
  <c r="BA42"/>
  <c r="BA14"/>
  <c r="BA54"/>
  <c r="BL43"/>
  <c r="P40" i="15"/>
  <c r="BL51" i="12"/>
  <c r="P48" i="15"/>
  <c r="BJ32" i="12"/>
  <c r="BL32"/>
  <c r="P29" i="15"/>
  <c r="BL41" i="12"/>
  <c r="P38" i="15"/>
  <c r="BL35" i="12"/>
  <c r="P32" i="15"/>
  <c r="AN11" i="29"/>
  <c r="BP20"/>
  <c r="BR19"/>
  <c r="Y17" i="30"/>
  <c r="AP17" i="29"/>
  <c r="K15" i="30"/>
  <c r="AN19" i="29"/>
  <c r="M22"/>
  <c r="O21"/>
  <c r="BR9"/>
  <c r="Y7" i="30"/>
  <c r="BR10" i="29"/>
  <c r="Y8" i="30"/>
  <c r="AP7" i="29"/>
  <c r="K5" i="30"/>
  <c r="BR16" i="29"/>
  <c r="Y14" i="30"/>
  <c r="BR11" i="29"/>
  <c r="Y9" i="30"/>
  <c r="BR24" i="29"/>
  <c r="Y22" i="30"/>
  <c r="BD22" i="29"/>
  <c r="R20" i="30"/>
  <c r="AP14" i="29"/>
  <c r="K12" i="30"/>
  <c r="AP15" i="29"/>
  <c r="K13" i="30"/>
  <c r="AP25" i="29"/>
  <c r="K23" i="30"/>
  <c r="AP26" i="29"/>
  <c r="K24" i="30"/>
  <c r="BD18" i="29"/>
  <c r="R16" i="30"/>
  <c r="BD19" i="29"/>
  <c r="R17" i="30"/>
  <c r="BP13" i="29"/>
  <c r="BR12"/>
  <c r="Y10" i="30"/>
  <c r="AT9" i="29"/>
  <c r="N7" i="30"/>
  <c r="O7"/>
  <c r="M7"/>
  <c r="AN9" i="29"/>
  <c r="AP9"/>
  <c r="K7" i="30"/>
  <c r="AP16" i="29"/>
  <c r="K14" i="30"/>
  <c r="AP24" i="29"/>
  <c r="K22" i="30"/>
  <c r="BR18" i="29"/>
  <c r="Y16" i="30"/>
  <c r="BA55" i="12"/>
  <c r="BC54"/>
  <c r="K51" i="15"/>
  <c r="BA43" i="12"/>
  <c r="BC42"/>
  <c r="K39" i="15"/>
  <c r="BU10" i="12"/>
  <c r="U7" i="15"/>
  <c r="BA51" i="12"/>
  <c r="BC50"/>
  <c r="K47" i="15"/>
  <c r="BU14" i="12"/>
  <c r="U11" i="15"/>
  <c r="BS29" i="12"/>
  <c r="BU28"/>
  <c r="U25" i="15"/>
  <c r="BS39" i="12"/>
  <c r="BU38"/>
  <c r="U35" i="15"/>
  <c r="BC53" i="12"/>
  <c r="K50" i="15"/>
  <c r="BC17" i="12"/>
  <c r="K14" i="15"/>
  <c r="BU9" i="12"/>
  <c r="U6" i="15"/>
  <c r="BU37" i="12"/>
  <c r="U34" i="15"/>
  <c r="BA15" i="12"/>
  <c r="BC14"/>
  <c r="K11" i="15"/>
  <c r="BS48" i="12"/>
  <c r="BU47"/>
  <c r="U44" i="15"/>
  <c r="BA11" i="12"/>
  <c r="BC10"/>
  <c r="K7" i="15"/>
  <c r="BU22" i="12"/>
  <c r="U19" i="15"/>
  <c r="BS60" i="12"/>
  <c r="BU59"/>
  <c r="U56" i="15"/>
  <c r="BC22" i="12"/>
  <c r="K19" i="15"/>
  <c r="BU18" i="12"/>
  <c r="U15" i="15"/>
  <c r="BA29" i="12"/>
  <c r="BC28"/>
  <c r="K25" i="15"/>
  <c r="BA58" i="12"/>
  <c r="BA37"/>
  <c r="BC36"/>
  <c r="K33" i="15"/>
  <c r="BU13" i="12"/>
  <c r="U10" i="15"/>
  <c r="BL31" i="12"/>
  <c r="P28" i="15"/>
  <c r="BL33" i="12"/>
  <c r="P30" i="15"/>
  <c r="BC19" i="12"/>
  <c r="K16" i="15"/>
  <c r="BC27" i="12"/>
  <c r="K24" i="15"/>
  <c r="BU21" i="12"/>
  <c r="U18" i="15"/>
  <c r="BU27" i="12"/>
  <c r="U24" i="15"/>
  <c r="AP8" i="29"/>
  <c r="K6" i="30"/>
  <c r="AP10" i="29"/>
  <c r="K8" i="30"/>
  <c r="BP14" i="29"/>
  <c r="BR13"/>
  <c r="Y11" i="30"/>
  <c r="M23" i="29"/>
  <c r="O22"/>
  <c r="AP18"/>
  <c r="K16" i="30"/>
  <c r="AN20" i="29"/>
  <c r="BP21"/>
  <c r="AN12"/>
  <c r="BA59" i="12"/>
  <c r="BC58"/>
  <c r="K55" i="15"/>
  <c r="BC57" i="12"/>
  <c r="K54" i="15"/>
  <c r="BA38" i="12"/>
  <c r="BA30"/>
  <c r="BU19"/>
  <c r="U16" i="15"/>
  <c r="BU20" i="12"/>
  <c r="U17" i="15"/>
  <c r="BS61" i="12"/>
  <c r="BU61"/>
  <c r="U58" i="15"/>
  <c r="BA12" i="12"/>
  <c r="BS49"/>
  <c r="BC15"/>
  <c r="K12" i="15"/>
  <c r="BC16" i="12"/>
  <c r="K13" i="15"/>
  <c r="BS40" i="12"/>
  <c r="BS30"/>
  <c r="BC51"/>
  <c r="K48" i="15"/>
  <c r="BC52" i="12"/>
  <c r="K49" i="15"/>
  <c r="BU11" i="12"/>
  <c r="U8" i="15"/>
  <c r="BU12" i="12"/>
  <c r="U9" i="15"/>
  <c r="BA44" i="12"/>
  <c r="BC55"/>
  <c r="K52" i="15"/>
  <c r="BC56" i="12"/>
  <c r="K53" i="15"/>
  <c r="AP12" i="29"/>
  <c r="K10" i="30"/>
  <c r="AP13" i="29"/>
  <c r="K11" i="30"/>
  <c r="BP22" i="29"/>
  <c r="BR21"/>
  <c r="Y19" i="30"/>
  <c r="AP21" i="29"/>
  <c r="K19" i="30"/>
  <c r="AP20" i="29"/>
  <c r="K18" i="30"/>
  <c r="BR14" i="29"/>
  <c r="Y12" i="30"/>
  <c r="BR15" i="29"/>
  <c r="Y13" i="30"/>
  <c r="M24" i="29"/>
  <c r="O23"/>
  <c r="AP11"/>
  <c r="K9" i="30"/>
  <c r="BR20" i="29"/>
  <c r="Y18" i="30"/>
  <c r="AP19" i="29"/>
  <c r="K17" i="30"/>
  <c r="BA45" i="12"/>
  <c r="BC44"/>
  <c r="K41" i="15"/>
  <c r="BS41" i="12"/>
  <c r="BU40"/>
  <c r="U37" i="15"/>
  <c r="BS50" i="12"/>
  <c r="BU49"/>
  <c r="U46" i="15"/>
  <c r="BC12" i="12"/>
  <c r="K9" i="15"/>
  <c r="BC13" i="12"/>
  <c r="K10" i="15"/>
  <c r="BU24" i="12"/>
  <c r="U21" i="15"/>
  <c r="BC24" i="12"/>
  <c r="K21" i="15"/>
  <c r="BC25" i="12"/>
  <c r="K22" i="15"/>
  <c r="BA31" i="12"/>
  <c r="BC30"/>
  <c r="K27" i="15"/>
  <c r="BA39" i="12"/>
  <c r="BC38"/>
  <c r="K35" i="15"/>
  <c r="BU16" i="12"/>
  <c r="U13" i="15"/>
  <c r="BU17" i="12"/>
  <c r="U14" i="15"/>
  <c r="BS31" i="12"/>
  <c r="BU30"/>
  <c r="U27" i="15"/>
  <c r="BC59" i="12"/>
  <c r="K56" i="15"/>
  <c r="BC60" i="12"/>
  <c r="K57" i="15"/>
  <c r="BC43" i="12"/>
  <c r="K40" i="15"/>
  <c r="BU15" i="12"/>
  <c r="U12" i="15"/>
  <c r="BU29" i="12"/>
  <c r="U26" i="15"/>
  <c r="BU39" i="12"/>
  <c r="U36" i="15"/>
  <c r="BU48" i="12"/>
  <c r="U45" i="15"/>
  <c r="BC11" i="12"/>
  <c r="K8" i="15"/>
  <c r="BU23" i="12"/>
  <c r="U20" i="15"/>
  <c r="BU60" i="12"/>
  <c r="U57" i="15"/>
  <c r="BC23" i="12"/>
  <c r="K20" i="15"/>
  <c r="BC29" i="12"/>
  <c r="K26" i="15"/>
  <c r="BC37" i="12"/>
  <c r="K34" i="15"/>
  <c r="M25" i="29"/>
  <c r="O24"/>
  <c r="BR22"/>
  <c r="Y20" i="30"/>
  <c r="BR23" i="29"/>
  <c r="Y21" i="30"/>
  <c r="BS32" i="12"/>
  <c r="BU31"/>
  <c r="U28" i="15"/>
  <c r="BA40" i="12"/>
  <c r="BC39"/>
  <c r="K36" i="15"/>
  <c r="BC31" i="12"/>
  <c r="K28" i="15"/>
  <c r="BC32" i="12"/>
  <c r="K29" i="15"/>
  <c r="BU25" i="12"/>
  <c r="U22" i="15"/>
  <c r="BU26" i="12"/>
  <c r="U23" i="15"/>
  <c r="BS51" i="12"/>
  <c r="BU50"/>
  <c r="U47" i="15"/>
  <c r="BS42" i="12"/>
  <c r="BA46"/>
  <c r="BC45"/>
  <c r="K42" i="15"/>
  <c r="M26" i="29"/>
  <c r="O26"/>
  <c r="BS43" i="12"/>
  <c r="BU42"/>
  <c r="U39" i="15"/>
  <c r="BU41" i="12"/>
  <c r="U38" i="15"/>
  <c r="BA47" i="12"/>
  <c r="BS52"/>
  <c r="BC40"/>
  <c r="K37" i="15"/>
  <c r="BC41" i="12"/>
  <c r="K38" i="15"/>
  <c r="BS33" i="12"/>
  <c r="O25" i="29"/>
  <c r="BS34" i="12"/>
  <c r="BU33"/>
  <c r="U30" i="15"/>
  <c r="BS53" i="12"/>
  <c r="BU52"/>
  <c r="U49" i="15"/>
  <c r="BA48" i="12"/>
  <c r="BC47"/>
  <c r="K44" i="15"/>
  <c r="BS44" i="12"/>
  <c r="BU43"/>
  <c r="U40" i="15"/>
  <c r="BU32" i="12"/>
  <c r="U29" i="15"/>
  <c r="BU51" i="12"/>
  <c r="U48" i="15"/>
  <c r="BC46" i="12"/>
  <c r="K43" i="15"/>
  <c r="BS45" i="12"/>
  <c r="BU44"/>
  <c r="U41" i="15"/>
  <c r="BC48" i="12"/>
  <c r="K45" i="15"/>
  <c r="BC49" i="12"/>
  <c r="K46" i="15"/>
  <c r="BS54" i="12"/>
  <c r="BS35"/>
  <c r="BU35"/>
  <c r="U32" i="15"/>
  <c r="BU36" i="12"/>
  <c r="U33" i="15"/>
  <c r="BS55" i="12"/>
  <c r="BU54"/>
  <c r="U51" i="15"/>
  <c r="BU34" i="12"/>
  <c r="U31" i="15"/>
  <c r="BU53" i="12"/>
  <c r="U50" i="15"/>
  <c r="BU45" i="12"/>
  <c r="U42" i="15"/>
  <c r="BU46" i="12"/>
  <c r="U43" i="15"/>
  <c r="BS56" i="12"/>
  <c r="BS57"/>
  <c r="BU56"/>
  <c r="U53" i="15"/>
  <c r="BU55" i="12"/>
  <c r="U52" i="15"/>
  <c r="BU57" i="12"/>
  <c r="U54" i="15"/>
  <c r="BU58" i="12"/>
  <c r="U55" i="15"/>
  <c r="AL3" i="5"/>
  <c r="AF15" i="17"/>
  <c r="AF34"/>
  <c r="J3" i="5"/>
  <c r="G6" i="18"/>
  <c r="H19" i="22"/>
  <c r="AZ3" i="5"/>
  <c r="AT15" i="17"/>
  <c r="AT34"/>
  <c r="Z3" i="5"/>
  <c r="T15" i="17"/>
  <c r="T34"/>
  <c r="AI3" i="5"/>
  <c r="I3"/>
  <c r="E6" i="18"/>
  <c r="E31"/>
  <c r="R3" i="5"/>
  <c r="F6" i="18"/>
  <c r="E32"/>
  <c r="E33"/>
  <c r="L3" i="5"/>
  <c r="H6" i="18"/>
  <c r="E34"/>
  <c r="F31"/>
  <c r="F32"/>
  <c r="F33"/>
  <c r="F34"/>
  <c r="G34"/>
  <c r="H34"/>
  <c r="I34"/>
  <c r="G31"/>
  <c r="I31"/>
  <c r="H31"/>
  <c r="G33"/>
  <c r="I33"/>
  <c r="H33"/>
  <c r="G32"/>
  <c r="I32"/>
  <c r="H32"/>
  <c r="AU3" i="5"/>
  <c r="AO15" i="17"/>
  <c r="AO34"/>
  <c r="AO3" i="5"/>
  <c r="AI15" i="17"/>
  <c r="AI34"/>
  <c r="D15"/>
  <c r="D34"/>
  <c r="BD3" i="5"/>
  <c r="AX15" i="17"/>
  <c r="AX34"/>
  <c r="BI3" i="5"/>
  <c r="BC15" i="17"/>
  <c r="BC34"/>
  <c r="AO7" i="12"/>
  <c r="AO8"/>
  <c r="K3" i="5"/>
  <c r="AO9" i="12"/>
  <c r="AO10"/>
  <c r="M3" i="5"/>
  <c r="AO11" i="12"/>
  <c r="N3" i="5"/>
  <c r="AO12" i="12"/>
  <c r="O3" i="5"/>
  <c r="AO13" i="12"/>
  <c r="P3" i="5"/>
  <c r="AO14" i="12"/>
  <c r="Q3" i="5"/>
  <c r="AO15" i="12"/>
  <c r="AO16"/>
  <c r="S3" i="5"/>
  <c r="AO17" i="12"/>
  <c r="T3" i="5"/>
  <c r="AO18" i="12"/>
  <c r="U3" i="5"/>
  <c r="AO19" i="12"/>
  <c r="V3" i="5"/>
  <c r="AO20" i="12"/>
  <c r="W3" i="5"/>
  <c r="AO21" i="12"/>
  <c r="X3" i="5"/>
  <c r="AO22" i="12"/>
  <c r="Y3" i="5"/>
  <c r="AO23" i="12"/>
  <c r="AO24"/>
  <c r="AA3" i="5"/>
  <c r="AO25" i="12"/>
  <c r="AB3" i="5"/>
  <c r="AO26" i="12"/>
  <c r="AC3" i="5"/>
  <c r="AO27" i="12"/>
  <c r="AD3" i="5"/>
  <c r="AO28" i="12"/>
  <c r="AE3" i="5"/>
  <c r="AO29" i="12"/>
  <c r="AF3" i="5"/>
  <c r="AO30" i="12"/>
  <c r="AG3" i="5"/>
  <c r="AO31" i="12"/>
  <c r="AH3" i="5"/>
  <c r="AO32" i="12"/>
  <c r="AO33"/>
  <c r="AJ3" i="5"/>
  <c r="AO34" i="12"/>
  <c r="AK3" i="5"/>
  <c r="AO35" i="12"/>
  <c r="AO36"/>
  <c r="AM3" i="5"/>
  <c r="AO37" i="12"/>
  <c r="AN3" i="5"/>
  <c r="AO38" i="12"/>
  <c r="AO39"/>
  <c r="AP3" i="5"/>
  <c r="AO40" i="12"/>
  <c r="AQ3" i="5"/>
  <c r="AO41" i="12"/>
  <c r="AR3" i="5"/>
  <c r="AO42" i="12"/>
  <c r="AS3" i="5"/>
  <c r="AO43" i="12"/>
  <c r="AT3" i="5"/>
  <c r="AO44" i="12"/>
  <c r="AO45"/>
  <c r="AV3" i="5"/>
  <c r="AO46" i="12"/>
  <c r="AW3" i="5"/>
  <c r="AO47" i="12"/>
  <c r="AX3" i="5"/>
  <c r="AO48" i="12"/>
  <c r="AY3" i="5"/>
  <c r="AO49" i="12"/>
  <c r="AO50"/>
  <c r="BA3" i="5"/>
  <c r="AO51" i="12"/>
  <c r="BB3" i="5"/>
  <c r="AO52" i="12"/>
  <c r="BC3" i="5"/>
  <c r="AO53" i="12"/>
  <c r="AO54"/>
  <c r="BE3" i="5"/>
  <c r="AO55" i="12"/>
  <c r="BF3" i="5"/>
  <c r="AO56" i="12"/>
  <c r="BG3" i="5"/>
  <c r="AO57" i="12"/>
  <c r="BH3" i="5"/>
  <c r="AO58" i="12"/>
  <c r="AO59"/>
  <c r="BJ3" i="5"/>
  <c r="AO60" i="12"/>
  <c r="BK3" i="5"/>
  <c r="AO61" i="12"/>
  <c r="AP7"/>
  <c r="AP8"/>
  <c r="AP9"/>
  <c r="AP10"/>
  <c r="AP11"/>
  <c r="AP12"/>
  <c r="AP13"/>
  <c r="AP14"/>
  <c r="AP15"/>
  <c r="AP16"/>
  <c r="AP17"/>
  <c r="AP18"/>
  <c r="AP19"/>
  <c r="AP20"/>
  <c r="AP21"/>
  <c r="AP22"/>
  <c r="AP23"/>
  <c r="AP24"/>
  <c r="AP25"/>
  <c r="AP26"/>
  <c r="AP27"/>
  <c r="AP28"/>
  <c r="AP29"/>
  <c r="AP30"/>
  <c r="AP31"/>
  <c r="AP32"/>
  <c r="AP33"/>
  <c r="AP34"/>
  <c r="AP35"/>
  <c r="AP36"/>
  <c r="AP37"/>
  <c r="AP38"/>
  <c r="AP39"/>
  <c r="AP40"/>
  <c r="AP41"/>
  <c r="AP42"/>
  <c r="AP43"/>
  <c r="AP44"/>
  <c r="AP45"/>
  <c r="AP46"/>
  <c r="AP47"/>
  <c r="AP48"/>
  <c r="AP49"/>
  <c r="AP50"/>
  <c r="AP51"/>
  <c r="AP52"/>
  <c r="AP53"/>
  <c r="AP54"/>
  <c r="AP55"/>
  <c r="AP56"/>
  <c r="AP57"/>
  <c r="AP58"/>
  <c r="AP59"/>
  <c r="AP60"/>
  <c r="AP61"/>
  <c r="AQ63"/>
  <c r="AR63"/>
  <c r="AQ67"/>
  <c r="AR67"/>
  <c r="BY7"/>
  <c r="BY8"/>
  <c r="BY9"/>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BY49"/>
  <c r="BY50"/>
  <c r="BY51"/>
  <c r="BY52"/>
  <c r="BY53"/>
  <c r="BY54"/>
  <c r="BY55"/>
  <c r="BY56"/>
  <c r="BY57"/>
  <c r="BY58"/>
  <c r="BY59"/>
  <c r="BY60"/>
  <c r="BY61"/>
  <c r="BZ7"/>
  <c r="BZ8"/>
  <c r="BZ9"/>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BZ49"/>
  <c r="BZ50"/>
  <c r="BZ51"/>
  <c r="BZ52"/>
  <c r="BZ53"/>
  <c r="BZ54"/>
  <c r="BZ55"/>
  <c r="BZ56"/>
  <c r="BZ57"/>
  <c r="BZ58"/>
  <c r="BZ59"/>
  <c r="BZ60"/>
  <c r="BZ61"/>
  <c r="CA64"/>
  <c r="CB64"/>
  <c r="CA67"/>
  <c r="CB67"/>
  <c r="CA7"/>
  <c r="CC7"/>
  <c r="E4" i="16"/>
  <c r="CA65" i="12"/>
  <c r="CB65"/>
  <c r="AQ64"/>
  <c r="AR64"/>
  <c r="AQ7"/>
  <c r="AS7"/>
  <c r="AV7"/>
  <c r="H4" i="15"/>
  <c r="AU7" i="12"/>
  <c r="G4" i="15"/>
  <c r="E4"/>
  <c r="AQ69" i="12"/>
  <c r="AR69"/>
  <c r="AQ68"/>
  <c r="AR68"/>
  <c r="AQ66"/>
  <c r="AR66"/>
  <c r="AQ65"/>
  <c r="AR65"/>
  <c r="CA68"/>
  <c r="CB68"/>
  <c r="CA66"/>
  <c r="CB66"/>
  <c r="CA63"/>
  <c r="CB63"/>
  <c r="CA69"/>
  <c r="CB69"/>
  <c r="CA61"/>
  <c r="CC61"/>
  <c r="O18" i="16"/>
  <c r="CA48" i="12"/>
  <c r="CC48"/>
  <c r="O5" i="16"/>
  <c r="CA59" i="12"/>
  <c r="CC59"/>
  <c r="O16" i="16"/>
  <c r="CA46" i="12"/>
  <c r="CC46"/>
  <c r="J23" i="16"/>
  <c r="CA40" i="12"/>
  <c r="CC40"/>
  <c r="J17" i="16"/>
  <c r="CA38" i="12"/>
  <c r="CC38"/>
  <c r="J15" i="16"/>
  <c r="CA31" i="12"/>
  <c r="CC31"/>
  <c r="J8" i="16"/>
  <c r="CC63" i="12"/>
  <c r="CF63"/>
  <c r="R20" i="16"/>
  <c r="CD63" i="12"/>
  <c r="P20" i="16"/>
  <c r="CE63" i="12"/>
  <c r="Q20" i="16"/>
  <c r="O20"/>
  <c r="CA37" i="12"/>
  <c r="CC37"/>
  <c r="J14" i="16"/>
  <c r="CA10" i="12"/>
  <c r="CC10"/>
  <c r="E7" i="16"/>
  <c r="CA25" i="12"/>
  <c r="CC25"/>
  <c r="E22" i="16"/>
  <c r="CA26" i="12"/>
  <c r="CC26"/>
  <c r="E23" i="16"/>
  <c r="CC68" i="12"/>
  <c r="CF68"/>
  <c r="R25" i="16"/>
  <c r="CE68" i="12"/>
  <c r="Q25" i="16"/>
  <c r="CD68" i="12"/>
  <c r="P25" i="16"/>
  <c r="O25"/>
  <c r="CA28" i="12"/>
  <c r="CC28"/>
  <c r="J5" i="16"/>
  <c r="CA24" i="12"/>
  <c r="CC24"/>
  <c r="E21" i="16"/>
  <c r="CA35" i="12"/>
  <c r="CC35"/>
  <c r="J12" i="16"/>
  <c r="AS65" i="12"/>
  <c r="AT65"/>
  <c r="F62" i="15"/>
  <c r="AU65" i="12"/>
  <c r="G62" i="15"/>
  <c r="AV65" i="12"/>
  <c r="H62" i="15"/>
  <c r="E62"/>
  <c r="AQ50" i="12"/>
  <c r="AS50"/>
  <c r="AU50"/>
  <c r="G47" i="15"/>
  <c r="E47"/>
  <c r="AS68" i="12"/>
  <c r="AT68"/>
  <c r="F65" i="15"/>
  <c r="AU68" i="12"/>
  <c r="G65" i="15"/>
  <c r="AV68" i="12"/>
  <c r="H65" i="15"/>
  <c r="E65"/>
  <c r="AS69" i="12"/>
  <c r="AT69"/>
  <c r="F66" i="15"/>
  <c r="AU69" i="12"/>
  <c r="G66" i="15"/>
  <c r="AV69" i="12"/>
  <c r="H66" i="15"/>
  <c r="E66"/>
  <c r="AQ22" i="12"/>
  <c r="AS22"/>
  <c r="AU22"/>
  <c r="G19" i="15"/>
  <c r="E19"/>
  <c r="AQ43" i="12"/>
  <c r="AS43"/>
  <c r="AU43"/>
  <c r="G40" i="15"/>
  <c r="E40"/>
  <c r="AQ52" i="12"/>
  <c r="AS52"/>
  <c r="AU52"/>
  <c r="G49" i="15"/>
  <c r="E49"/>
  <c r="AQ54" i="12"/>
  <c r="AS54"/>
  <c r="E51" i="15"/>
  <c r="AU54" i="12"/>
  <c r="G51" i="15"/>
  <c r="AQ17" i="12"/>
  <c r="AS17"/>
  <c r="AU17"/>
  <c r="G14" i="15"/>
  <c r="E14"/>
  <c r="AQ42" i="12"/>
  <c r="AS42"/>
  <c r="AU42"/>
  <c r="G39" i="15"/>
  <c r="E39"/>
  <c r="AQ60" i="12"/>
  <c r="AS60"/>
  <c r="AU60"/>
  <c r="G57" i="15"/>
  <c r="E57"/>
  <c r="AQ62" i="12"/>
  <c r="AS62"/>
  <c r="AT62"/>
  <c r="F59" i="15"/>
  <c r="AU62" i="12"/>
  <c r="G59" i="15"/>
  <c r="AV62" i="12"/>
  <c r="H59" i="15"/>
  <c r="E59"/>
  <c r="AS64" i="12"/>
  <c r="AT64"/>
  <c r="F61" i="15"/>
  <c r="AU64" i="12"/>
  <c r="G61" i="15"/>
  <c r="AV64" i="12"/>
  <c r="H61" i="15"/>
  <c r="E61"/>
  <c r="AQ13" i="12"/>
  <c r="AS13"/>
  <c r="AU13"/>
  <c r="G10" i="15"/>
  <c r="E10"/>
  <c r="AQ36" i="12"/>
  <c r="AS36"/>
  <c r="AU36"/>
  <c r="G33" i="15"/>
  <c r="E33"/>
  <c r="AQ38" i="12"/>
  <c r="AS38"/>
  <c r="AU38"/>
  <c r="G35" i="15"/>
  <c r="E35"/>
  <c r="AQ35" i="12"/>
  <c r="AS35"/>
  <c r="AU35"/>
  <c r="G32" i="15"/>
  <c r="E32"/>
  <c r="AQ59" i="12"/>
  <c r="AS59"/>
  <c r="AU59"/>
  <c r="G56" i="15"/>
  <c r="E56"/>
  <c r="AQ44" i="12"/>
  <c r="AS44"/>
  <c r="AU44"/>
  <c r="G41" i="15"/>
  <c r="E41"/>
  <c r="AQ46" i="12"/>
  <c r="AS46"/>
  <c r="AU46"/>
  <c r="G43" i="15"/>
  <c r="E43"/>
  <c r="AQ34" i="12"/>
  <c r="AS34"/>
  <c r="E31" i="15"/>
  <c r="AU34" i="12"/>
  <c r="G31" i="15"/>
  <c r="AQ58" i="12"/>
  <c r="AS58"/>
  <c r="AU58"/>
  <c r="G55" i="15"/>
  <c r="E55"/>
  <c r="AQ11" i="12"/>
  <c r="AS11"/>
  <c r="E8" i="15"/>
  <c r="AU11" i="12"/>
  <c r="G8" i="15"/>
  <c r="AQ9" i="12"/>
  <c r="AS9"/>
  <c r="E6" i="15"/>
  <c r="AU9" i="12"/>
  <c r="G6" i="15"/>
  <c r="AQ25" i="12"/>
  <c r="AS25"/>
  <c r="AU25"/>
  <c r="G22" i="15"/>
  <c r="E22"/>
  <c r="AQ15" i="12"/>
  <c r="AS15"/>
  <c r="AU15"/>
  <c r="G12" i="15"/>
  <c r="E12"/>
  <c r="AQ18" i="12"/>
  <c r="AS18"/>
  <c r="AU18"/>
  <c r="G15" i="15"/>
  <c r="E15"/>
  <c r="AQ49" i="12"/>
  <c r="AS49"/>
  <c r="AU49"/>
  <c r="G46" i="15"/>
  <c r="E46"/>
  <c r="AQ24" i="12"/>
  <c r="AS24"/>
  <c r="E21" i="15"/>
  <c r="AU24" i="12"/>
  <c r="G21" i="15"/>
  <c r="AQ10" i="12"/>
  <c r="AS10"/>
  <c r="AU10"/>
  <c r="G7" i="15"/>
  <c r="E7"/>
  <c r="AQ41" i="12"/>
  <c r="AS41"/>
  <c r="AU41"/>
  <c r="G38" i="15"/>
  <c r="E38"/>
  <c r="AQ39" i="12"/>
  <c r="AS39"/>
  <c r="AU39"/>
  <c r="G36" i="15"/>
  <c r="E36"/>
  <c r="AQ40" i="12"/>
  <c r="AS40"/>
  <c r="E37" i="15"/>
  <c r="AU40" i="12"/>
  <c r="G37" i="15"/>
  <c r="AQ47" i="12"/>
  <c r="AS47"/>
  <c r="AU47"/>
  <c r="G44" i="15"/>
  <c r="E44"/>
  <c r="AQ16" i="12"/>
  <c r="AS16"/>
  <c r="AU16"/>
  <c r="G13" i="15"/>
  <c r="E13"/>
  <c r="AQ14" i="12"/>
  <c r="AS14"/>
  <c r="AU14"/>
  <c r="G11" i="15"/>
  <c r="E11"/>
  <c r="AQ33" i="12"/>
  <c r="AS33"/>
  <c r="AU33"/>
  <c r="G30" i="15"/>
  <c r="E30"/>
  <c r="AQ57" i="12"/>
  <c r="AS57"/>
  <c r="AU57"/>
  <c r="G54" i="15"/>
  <c r="E54"/>
  <c r="AQ19" i="12"/>
  <c r="AS19"/>
  <c r="AU19"/>
  <c r="G16" i="15"/>
  <c r="E16"/>
  <c r="AQ23" i="12"/>
  <c r="AS23"/>
  <c r="AU23"/>
  <c r="G20" i="15"/>
  <c r="E20"/>
  <c r="AQ28" i="12"/>
  <c r="AS28"/>
  <c r="E25" i="15"/>
  <c r="AU28" i="12"/>
  <c r="G25" i="15"/>
  <c r="AQ30" i="12"/>
  <c r="AS30"/>
  <c r="E27" i="15"/>
  <c r="AU30" i="12"/>
  <c r="G27" i="15"/>
  <c r="AQ26" i="12"/>
  <c r="AS26"/>
  <c r="AU26"/>
  <c r="G23" i="15"/>
  <c r="E23"/>
  <c r="CA18" i="12"/>
  <c r="CC18"/>
  <c r="E15" i="16"/>
  <c r="CA49" i="12"/>
  <c r="CC49"/>
  <c r="O6" i="16"/>
  <c r="CA34" i="12"/>
  <c r="CC34"/>
  <c r="J11" i="16"/>
  <c r="CA50" i="12"/>
  <c r="CC50"/>
  <c r="O7" i="16"/>
  <c r="CA33" i="12"/>
  <c r="CC33"/>
  <c r="J10" i="16"/>
  <c r="CA15" i="12"/>
  <c r="CC15"/>
  <c r="E12" i="16"/>
  <c r="CA45" i="12"/>
  <c r="CC45"/>
  <c r="J22" i="16"/>
  <c r="CA60" i="12"/>
  <c r="CC60"/>
  <c r="O17" i="16"/>
  <c r="CA39" i="12"/>
  <c r="CC39"/>
  <c r="J16" i="16"/>
  <c r="CA54" i="12"/>
  <c r="CC54"/>
  <c r="O11" i="16"/>
  <c r="CF7" i="12"/>
  <c r="H4" i="16"/>
  <c r="B3" i="26"/>
  <c r="M3"/>
  <c r="F3"/>
  <c r="C3"/>
  <c r="J3"/>
  <c r="CC67" i="12"/>
  <c r="CE67"/>
  <c r="Q24" i="16"/>
  <c r="CD67" i="12"/>
  <c r="P24" i="16"/>
  <c r="CF67" i="12"/>
  <c r="R24" i="16"/>
  <c r="O24"/>
  <c r="AQ53" i="12"/>
  <c r="AS53"/>
  <c r="AU53"/>
  <c r="G50" i="15"/>
  <c r="E50"/>
  <c r="AQ55" i="12"/>
  <c r="AS55"/>
  <c r="AU55"/>
  <c r="G52" i="15"/>
  <c r="E52"/>
  <c r="AQ48" i="12"/>
  <c r="AS48"/>
  <c r="AU48"/>
  <c r="G45" i="15"/>
  <c r="E45"/>
  <c r="AS67" i="12"/>
  <c r="AT67"/>
  <c r="F64" i="15"/>
  <c r="AU67" i="12"/>
  <c r="G64" i="15"/>
  <c r="AV67" i="12"/>
  <c r="H64" i="15"/>
  <c r="E64"/>
  <c r="AQ61" i="12"/>
  <c r="AS61"/>
  <c r="AU61"/>
  <c r="G58" i="15"/>
  <c r="E58"/>
  <c r="AQ20" i="12"/>
  <c r="AS20"/>
  <c r="AU20"/>
  <c r="G17" i="15"/>
  <c r="E17"/>
  <c r="AQ37" i="12"/>
  <c r="AS37"/>
  <c r="AU37"/>
  <c r="G34" i="15"/>
  <c r="E34"/>
  <c r="AQ12" i="12"/>
  <c r="AS12"/>
  <c r="AU12"/>
  <c r="G9" i="15"/>
  <c r="E9"/>
  <c r="AQ45" i="12"/>
  <c r="AS45"/>
  <c r="AU45"/>
  <c r="G42" i="15"/>
  <c r="E42"/>
  <c r="AS63" i="12"/>
  <c r="AT63"/>
  <c r="F60" i="15"/>
  <c r="AU63" i="12"/>
  <c r="G60" i="15"/>
  <c r="AV63" i="12"/>
  <c r="H60" i="15"/>
  <c r="E60"/>
  <c r="AQ21" i="12"/>
  <c r="AS21"/>
  <c r="E18" i="15"/>
  <c r="AU21" i="12"/>
  <c r="G18" i="15"/>
  <c r="AQ29" i="12"/>
  <c r="AS29"/>
  <c r="AU29"/>
  <c r="G26" i="15"/>
  <c r="E26"/>
  <c r="AQ31" i="12"/>
  <c r="AS31"/>
  <c r="AU31"/>
  <c r="G28" i="15"/>
  <c r="E28"/>
  <c r="AQ32" i="12"/>
  <c r="AS32"/>
  <c r="E29" i="15"/>
  <c r="AU32" i="12"/>
  <c r="G29" i="15"/>
  <c r="AQ56" i="12"/>
  <c r="AS56"/>
  <c r="E53" i="15"/>
  <c r="AU56" i="12"/>
  <c r="G53" i="15"/>
  <c r="AQ8" i="12"/>
  <c r="AS8"/>
  <c r="AU8"/>
  <c r="G5" i="15"/>
  <c r="E5"/>
  <c r="AQ27" i="12"/>
  <c r="AS27"/>
  <c r="AU27"/>
  <c r="G24" i="15"/>
  <c r="E24"/>
  <c r="AQ51" i="12"/>
  <c r="AS51"/>
  <c r="AU51"/>
  <c r="G48" i="15"/>
  <c r="E48"/>
  <c r="CA17" i="12"/>
  <c r="CC17"/>
  <c r="E14" i="16"/>
  <c r="CA47" i="12"/>
  <c r="CC47"/>
  <c r="O4" i="16"/>
  <c r="CA13" i="12"/>
  <c r="CC13"/>
  <c r="E10" i="16"/>
  <c r="CA57" i="12"/>
  <c r="CC57"/>
  <c r="O14" i="16"/>
  <c r="CA9" i="12"/>
  <c r="CC9"/>
  <c r="E6" i="16"/>
  <c r="CA12" i="12"/>
  <c r="CC12"/>
  <c r="E9" i="16"/>
  <c r="CA30" i="12"/>
  <c r="CC30"/>
  <c r="J7" i="16"/>
  <c r="CA8" i="12"/>
  <c r="CC8"/>
  <c r="E5" i="16"/>
  <c r="CA42" i="12"/>
  <c r="CC42"/>
  <c r="J19" i="16"/>
  <c r="CA41" i="12"/>
  <c r="CC41"/>
  <c r="J18" i="16"/>
  <c r="CA14" i="12"/>
  <c r="CC14"/>
  <c r="E11" i="16"/>
  <c r="CA11" i="12"/>
  <c r="CC11"/>
  <c r="E8" i="16"/>
  <c r="CA36" i="12"/>
  <c r="CC36"/>
  <c r="J13" i="16"/>
  <c r="CC69" i="12"/>
  <c r="CE69"/>
  <c r="Q26" i="16"/>
  <c r="CF69" i="12"/>
  <c r="R26" i="16"/>
  <c r="CD69" i="12"/>
  <c r="P26" i="16"/>
  <c r="O26"/>
  <c r="CC66" i="12"/>
  <c r="CE66"/>
  <c r="Q23" i="16"/>
  <c r="CD66" i="12"/>
  <c r="P23" i="16"/>
  <c r="CF66" i="12"/>
  <c r="R23" i="16"/>
  <c r="O23"/>
  <c r="AS66" i="12"/>
  <c r="AT66"/>
  <c r="F63" i="15"/>
  <c r="AU66" i="12"/>
  <c r="G63" i="15"/>
  <c r="AV66" i="12"/>
  <c r="H63" i="15"/>
  <c r="E63"/>
  <c r="CA62" i="12"/>
  <c r="CC62"/>
  <c r="CF62"/>
  <c r="R19" i="16"/>
  <c r="CD62" i="12"/>
  <c r="P19" i="16"/>
  <c r="CE62" i="12"/>
  <c r="Q19" i="16"/>
  <c r="O19"/>
  <c r="CC65" i="12"/>
  <c r="CD65"/>
  <c r="P22" i="16"/>
  <c r="CE65" i="12"/>
  <c r="Q22" i="16"/>
  <c r="CF65" i="12"/>
  <c r="R22" i="16"/>
  <c r="O22"/>
  <c r="CE7" i="12"/>
  <c r="A3" i="26"/>
  <c r="G4" i="16"/>
  <c r="CA56" i="12"/>
  <c r="CC56"/>
  <c r="O13" i="16"/>
  <c r="CA29" i="12"/>
  <c r="CC29"/>
  <c r="J6" i="16"/>
  <c r="CA32" i="12"/>
  <c r="CC32"/>
  <c r="J9" i="16"/>
  <c r="CA27" i="12"/>
  <c r="CC27"/>
  <c r="J4" i="16"/>
  <c r="CC64" i="12"/>
  <c r="CF64"/>
  <c r="R21" i="16"/>
  <c r="CD64" i="12"/>
  <c r="P21" i="16"/>
  <c r="CE64" i="12"/>
  <c r="Q21" i="16"/>
  <c r="O21"/>
  <c r="CA23" i="12"/>
  <c r="CC23"/>
  <c r="E20" i="16"/>
  <c r="CA16" i="12"/>
  <c r="CC16"/>
  <c r="E13" i="16"/>
  <c r="CA53" i="12"/>
  <c r="CC53"/>
  <c r="O10" i="16"/>
  <c r="CA22" i="12"/>
  <c r="CC22"/>
  <c r="E19" i="16"/>
  <c r="CA21" i="12"/>
  <c r="CC21"/>
  <c r="E18" i="16"/>
  <c r="CA43" i="12"/>
  <c r="CC43"/>
  <c r="J20" i="16"/>
  <c r="CA44" i="12"/>
  <c r="CC44"/>
  <c r="J21" i="16"/>
  <c r="CA58" i="12"/>
  <c r="CC58"/>
  <c r="O15" i="16"/>
  <c r="CA55" i="12"/>
  <c r="CC55"/>
  <c r="O12" i="16"/>
  <c r="CA20" i="12"/>
  <c r="CC20"/>
  <c r="E17" i="16"/>
  <c r="CA51" i="12"/>
  <c r="CC51"/>
  <c r="O8" i="16"/>
  <c r="CA52" i="12"/>
  <c r="CC52"/>
  <c r="O9" i="16"/>
  <c r="CA19" i="12"/>
  <c r="CC19"/>
  <c r="E16" i="16"/>
  <c r="T7" i="29"/>
  <c r="V7"/>
  <c r="W7"/>
  <c r="T8"/>
  <c r="V8"/>
  <c r="W8"/>
  <c r="T9"/>
  <c r="V9"/>
  <c r="W9"/>
  <c r="T10"/>
  <c r="V10"/>
  <c r="W10"/>
  <c r="T11"/>
  <c r="V11"/>
  <c r="W11"/>
  <c r="T12"/>
  <c r="V12"/>
  <c r="W12"/>
  <c r="T13"/>
  <c r="V13"/>
  <c r="W13"/>
  <c r="T14"/>
  <c r="V14"/>
  <c r="W14"/>
  <c r="T15"/>
  <c r="V15"/>
  <c r="W15"/>
  <c r="T16"/>
  <c r="V16"/>
  <c r="W16"/>
  <c r="T17"/>
  <c r="V17"/>
  <c r="W17"/>
  <c r="T18"/>
  <c r="V18"/>
  <c r="W18"/>
  <c r="T19"/>
  <c r="V19"/>
  <c r="W19"/>
  <c r="T20"/>
  <c r="V20"/>
  <c r="W20"/>
  <c r="T21"/>
  <c r="V21"/>
  <c r="W21"/>
  <c r="T22"/>
  <c r="V22"/>
  <c r="W22"/>
  <c r="T23"/>
  <c r="V23"/>
  <c r="W23"/>
  <c r="T24"/>
  <c r="V24"/>
  <c r="W24"/>
  <c r="T25"/>
  <c r="V25"/>
  <c r="W25"/>
  <c r="T26"/>
  <c r="V26"/>
  <c r="W26"/>
  <c r="X7"/>
  <c r="X8"/>
  <c r="X9"/>
  <c r="X10"/>
  <c r="X11"/>
  <c r="X12"/>
  <c r="X13"/>
  <c r="X14"/>
  <c r="X15"/>
  <c r="X16"/>
  <c r="X17"/>
  <c r="X18"/>
  <c r="X19"/>
  <c r="Y13"/>
  <c r="AA13"/>
  <c r="AD13"/>
  <c r="F11" i="30"/>
  <c r="B11"/>
  <c r="AC13" i="29"/>
  <c r="E11" i="30"/>
  <c r="X20" i="29"/>
  <c r="X21"/>
  <c r="X22"/>
  <c r="X23"/>
  <c r="X24"/>
  <c r="X25"/>
  <c r="Y24"/>
  <c r="AA24"/>
  <c r="AC24"/>
  <c r="E22" i="30"/>
  <c r="B22"/>
  <c r="Y7" i="29"/>
  <c r="AA7"/>
  <c r="AC7"/>
  <c r="E5" i="30"/>
  <c r="B5"/>
  <c r="AD7" i="29"/>
  <c r="F5" i="30"/>
  <c r="Y14" i="29"/>
  <c r="AA14"/>
  <c r="AC14"/>
  <c r="E12" i="30"/>
  <c r="B12"/>
  <c r="Y15" i="29"/>
  <c r="AA15"/>
  <c r="B13" i="30"/>
  <c r="AC15" i="29"/>
  <c r="E13" i="30"/>
  <c r="AF7" i="12"/>
  <c r="AF8"/>
  <c r="AF9"/>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F48"/>
  <c r="AF49"/>
  <c r="AF50"/>
  <c r="AF51"/>
  <c r="AF52"/>
  <c r="AF53"/>
  <c r="AF54"/>
  <c r="AF55"/>
  <c r="AF56"/>
  <c r="AF57"/>
  <c r="AF58"/>
  <c r="AF59"/>
  <c r="AF60"/>
  <c r="AF61"/>
  <c r="AG7"/>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H17"/>
  <c r="AJ17"/>
  <c r="AL17"/>
  <c r="AH29"/>
  <c r="AJ29"/>
  <c r="AL29"/>
  <c r="AG45"/>
  <c r="AG46"/>
  <c r="AG47"/>
  <c r="AG48"/>
  <c r="AG49"/>
  <c r="AG50"/>
  <c r="AG51"/>
  <c r="AG52"/>
  <c r="AG53"/>
  <c r="AG54"/>
  <c r="AG55"/>
  <c r="AG56"/>
  <c r="AH51"/>
  <c r="AJ51"/>
  <c r="AL51"/>
  <c r="AG57"/>
  <c r="AH16"/>
  <c r="AJ16"/>
  <c r="AL16"/>
  <c r="AH37"/>
  <c r="AJ37"/>
  <c r="AL37"/>
  <c r="AG58"/>
  <c r="AG59"/>
  <c r="AG60"/>
  <c r="AH60"/>
  <c r="AJ60"/>
  <c r="AL60"/>
  <c r="AH40"/>
  <c r="AJ40"/>
  <c r="AL40"/>
  <c r="AH18"/>
  <c r="AJ18"/>
  <c r="AL18"/>
  <c r="AH58"/>
  <c r="AJ58"/>
  <c r="AL58"/>
  <c r="AH27"/>
  <c r="AJ27"/>
  <c r="AL27"/>
  <c r="AH10"/>
  <c r="AJ10"/>
  <c r="AL10"/>
  <c r="AH50"/>
  <c r="AJ50"/>
  <c r="AL50"/>
  <c r="AH56"/>
  <c r="AJ56"/>
  <c r="AL56"/>
  <c r="AH24"/>
  <c r="AJ24"/>
  <c r="AL24"/>
  <c r="AH45"/>
  <c r="AJ45"/>
  <c r="AL45"/>
  <c r="AH42"/>
  <c r="AJ42"/>
  <c r="AL42"/>
  <c r="AH15"/>
  <c r="AJ15"/>
  <c r="AL15"/>
  <c r="AH7"/>
  <c r="AJ7"/>
  <c r="AL7"/>
  <c r="AH13"/>
  <c r="AJ13"/>
  <c r="AL13"/>
  <c r="AH25"/>
  <c r="AJ25"/>
  <c r="AL25"/>
  <c r="AH20"/>
  <c r="AJ20"/>
  <c r="AL20"/>
  <c r="AH8"/>
  <c r="AJ8"/>
  <c r="AL8"/>
  <c r="AH55"/>
  <c r="AJ55"/>
  <c r="AL55"/>
  <c r="AH52"/>
  <c r="AJ52"/>
  <c r="AL52"/>
  <c r="AH19"/>
  <c r="AJ19"/>
  <c r="AL19"/>
  <c r="AH21"/>
  <c r="AJ21"/>
  <c r="AL21"/>
  <c r="AH38"/>
  <c r="AJ38"/>
  <c r="AL38"/>
  <c r="AH59"/>
  <c r="AJ59"/>
  <c r="AL59"/>
  <c r="AH36"/>
  <c r="AJ36"/>
  <c r="AL36"/>
  <c r="AH44"/>
  <c r="AJ44"/>
  <c r="AL44"/>
  <c r="AH34"/>
  <c r="AJ34"/>
  <c r="AL34"/>
  <c r="AH43"/>
  <c r="AJ43"/>
  <c r="AL43"/>
  <c r="AH12"/>
  <c r="AJ12"/>
  <c r="AL12"/>
  <c r="AH9"/>
  <c r="AJ9"/>
  <c r="AL9"/>
  <c r="AH54"/>
  <c r="AJ54"/>
  <c r="AL54"/>
  <c r="AH53"/>
  <c r="AJ53"/>
  <c r="AL53"/>
  <c r="AH22"/>
  <c r="AJ22"/>
  <c r="AL22"/>
  <c r="AH30"/>
  <c r="AJ30"/>
  <c r="AL30"/>
  <c r="CE19"/>
  <c r="A15" i="26"/>
  <c r="G16" i="16"/>
  <c r="B15" i="26"/>
  <c r="M15"/>
  <c r="F15"/>
  <c r="CE52" i="12"/>
  <c r="A48" i="26"/>
  <c r="Q9" i="16"/>
  <c r="CE51" i="12"/>
  <c r="Q8" i="16"/>
  <c r="A47" i="26"/>
  <c r="B16"/>
  <c r="M16"/>
  <c r="F16"/>
  <c r="CE55" i="12"/>
  <c r="A51" i="26"/>
  <c r="Q12" i="16"/>
  <c r="B51" i="26"/>
  <c r="M51"/>
  <c r="F51"/>
  <c r="CF58" i="12"/>
  <c r="R15" i="16"/>
  <c r="CE44" i="12"/>
  <c r="L21" i="16"/>
  <c r="A40" i="26"/>
  <c r="CF44" i="12"/>
  <c r="M21" i="16"/>
  <c r="B39" i="26"/>
  <c r="CF43" i="12"/>
  <c r="C39" i="26"/>
  <c r="J39"/>
  <c r="M20" i="16"/>
  <c r="F39" i="26"/>
  <c r="M39"/>
  <c r="CE21" i="12"/>
  <c r="G18" i="16"/>
  <c r="A17" i="26"/>
  <c r="B17"/>
  <c r="M17"/>
  <c r="F17"/>
  <c r="CE22" i="12"/>
  <c r="A18" i="26"/>
  <c r="G19" i="16"/>
  <c r="B18" i="26"/>
  <c r="F18"/>
  <c r="M18"/>
  <c r="CF53" i="12"/>
  <c r="R10" i="16"/>
  <c r="CE53" i="12"/>
  <c r="Q10" i="16"/>
  <c r="A49" i="26"/>
  <c r="CF16" i="12"/>
  <c r="H13" i="16"/>
  <c r="B19" i="26"/>
  <c r="M19"/>
  <c r="F19"/>
  <c r="CF23" i="12"/>
  <c r="C19" i="26"/>
  <c r="J19"/>
  <c r="H20" i="16"/>
  <c r="CE27" i="12"/>
  <c r="A23" i="26"/>
  <c r="L4" i="16"/>
  <c r="CF32" i="12"/>
  <c r="M9" i="16"/>
  <c r="B25" i="26"/>
  <c r="M25"/>
  <c r="F25"/>
  <c r="CF29" i="12"/>
  <c r="M6" i="16"/>
  <c r="C25" i="26"/>
  <c r="J25"/>
  <c r="CF56" i="12"/>
  <c r="R13" i="16"/>
  <c r="B32" i="26"/>
  <c r="M32"/>
  <c r="F32"/>
  <c r="B7"/>
  <c r="F7"/>
  <c r="M7"/>
  <c r="CF11" i="12"/>
  <c r="H8" i="16"/>
  <c r="C7" i="26"/>
  <c r="J7"/>
  <c r="B10"/>
  <c r="CF14" i="12"/>
  <c r="C10" i="26"/>
  <c r="J10"/>
  <c r="H11" i="16"/>
  <c r="F10" i="26"/>
  <c r="M10"/>
  <c r="B37"/>
  <c r="M37"/>
  <c r="F37"/>
  <c r="CE42" i="12"/>
  <c r="L19" i="16"/>
  <c r="A38" i="26"/>
  <c r="B4"/>
  <c r="M4"/>
  <c r="F4"/>
  <c r="CE30" i="12"/>
  <c r="L7" i="16"/>
  <c r="A26" i="26"/>
  <c r="CF12" i="12"/>
  <c r="H9" i="16"/>
  <c r="CE9" i="12"/>
  <c r="A5" i="26"/>
  <c r="G6" i="16"/>
  <c r="CF57" i="12"/>
  <c r="R14" i="16"/>
  <c r="B9" i="26"/>
  <c r="F9"/>
  <c r="M9"/>
  <c r="CF47" i="12"/>
  <c r="R4" i="16"/>
  <c r="CE47" i="12"/>
  <c r="A43" i="26"/>
  <c r="Q4" i="16"/>
  <c r="CE17" i="12"/>
  <c r="G14" i="16"/>
  <c r="A13" i="26"/>
  <c r="CF17" i="12"/>
  <c r="H14" i="16"/>
  <c r="AV21" i="12"/>
  <c r="H18" i="15"/>
  <c r="AV48" i="12"/>
  <c r="H45" i="15"/>
  <c r="B50" i="26"/>
  <c r="F50"/>
  <c r="M50"/>
  <c r="B35"/>
  <c r="F35"/>
  <c r="M35"/>
  <c r="CF39" i="12"/>
  <c r="C35" i="26"/>
  <c r="J35"/>
  <c r="M16" i="16"/>
  <c r="B56" i="26"/>
  <c r="M56"/>
  <c r="F56"/>
  <c r="CE60" i="12"/>
  <c r="A56" i="26"/>
  <c r="Q17" i="16"/>
  <c r="B41" i="26"/>
  <c r="M41"/>
  <c r="F41"/>
  <c r="CE45" i="12"/>
  <c r="A41" i="26"/>
  <c r="L22" i="16"/>
  <c r="CE15" i="12"/>
  <c r="G12" i="16"/>
  <c r="A11" i="26"/>
  <c r="CF15" i="12"/>
  <c r="H12" i="16"/>
  <c r="CF33" i="12"/>
  <c r="M10" i="16"/>
  <c r="B46" i="26"/>
  <c r="F46"/>
  <c r="M46"/>
  <c r="CF50" i="12"/>
  <c r="C46" i="26"/>
  <c r="J46"/>
  <c r="R7" i="16"/>
  <c r="B30" i="26"/>
  <c r="M30"/>
  <c r="F30"/>
  <c r="B45"/>
  <c r="F45"/>
  <c r="M45"/>
  <c r="CF18" i="12"/>
  <c r="H15" i="16"/>
  <c r="AV26" i="12"/>
  <c r="H23" i="15"/>
  <c r="AV30" i="12"/>
  <c r="H27" i="15"/>
  <c r="AV19" i="12"/>
  <c r="H16" i="15"/>
  <c r="AV40" i="12"/>
  <c r="H37" i="15"/>
  <c r="AV58" i="12"/>
  <c r="H55" i="15"/>
  <c r="AV46" i="12"/>
  <c r="H43" i="15"/>
  <c r="AV44" i="12"/>
  <c r="H41" i="15"/>
  <c r="AV38" i="12"/>
  <c r="H35" i="15"/>
  <c r="AV36" i="12"/>
  <c r="H33" i="15"/>
  <c r="AV60" i="12"/>
  <c r="H57" i="15"/>
  <c r="AV42" i="12"/>
  <c r="H39" i="15"/>
  <c r="AV17" i="12"/>
  <c r="H14" i="15"/>
  <c r="AV52" i="12"/>
  <c r="H49" i="15"/>
  <c r="AV50" i="12"/>
  <c r="H47" i="15"/>
  <c r="CE35" i="12"/>
  <c r="L12" i="16"/>
  <c r="A31" i="26"/>
  <c r="CE24" i="12"/>
  <c r="G21" i="16"/>
  <c r="A20" i="26"/>
  <c r="B20"/>
  <c r="M20"/>
  <c r="F20"/>
  <c r="B24"/>
  <c r="F24"/>
  <c r="M24"/>
  <c r="B22"/>
  <c r="F22"/>
  <c r="M22"/>
  <c r="CF25" i="12"/>
  <c r="H22" i="16"/>
  <c r="CE25" i="12"/>
  <c r="A21" i="26"/>
  <c r="G22" i="16"/>
  <c r="CF10" i="12"/>
  <c r="H7" i="16"/>
  <c r="CE10" i="12"/>
  <c r="A6" i="26"/>
  <c r="G7" i="16"/>
  <c r="B33" i="26"/>
  <c r="M33"/>
  <c r="F33"/>
  <c r="CF37" i="12"/>
  <c r="C33" i="26"/>
  <c r="J33"/>
  <c r="M14" i="16"/>
  <c r="CE31" i="12"/>
  <c r="A27" i="26"/>
  <c r="L8" i="16"/>
  <c r="B34" i="26"/>
  <c r="M34"/>
  <c r="F34"/>
  <c r="CE38" i="12"/>
  <c r="A34" i="26"/>
  <c r="L15" i="16"/>
  <c r="CE40" i="12"/>
  <c r="A36" i="26"/>
  <c r="L17" i="16"/>
  <c r="CF40" i="12"/>
  <c r="M17" i="16"/>
  <c r="CE46" i="12"/>
  <c r="A42" i="26"/>
  <c r="L23" i="16"/>
  <c r="CF59" i="12"/>
  <c r="R16" i="16"/>
  <c r="CE48" i="12"/>
  <c r="Q5" i="16"/>
  <c r="A44" i="26"/>
  <c r="B44"/>
  <c r="M44"/>
  <c r="F44"/>
  <c r="B57"/>
  <c r="F57"/>
  <c r="M57"/>
  <c r="CE61" i="12"/>
  <c r="Q18" i="16"/>
  <c r="A57" i="26"/>
  <c r="CF19" i="12"/>
  <c r="H16" i="16"/>
  <c r="C15" i="26"/>
  <c r="J15"/>
  <c r="B48"/>
  <c r="CF52" i="12"/>
  <c r="C48" i="26"/>
  <c r="J48"/>
  <c r="R9" i="16"/>
  <c r="F48" i="26"/>
  <c r="M48"/>
  <c r="B47"/>
  <c r="M47"/>
  <c r="F47"/>
  <c r="CF51" i="12"/>
  <c r="R8" i="16"/>
  <c r="C47" i="26"/>
  <c r="J47"/>
  <c r="CE20" i="12"/>
  <c r="G17" i="16"/>
  <c r="A16" i="26"/>
  <c r="CF20" i="12"/>
  <c r="C16" i="26"/>
  <c r="J16"/>
  <c r="H17" i="16"/>
  <c r="CF55" i="12"/>
  <c r="R12" i="16"/>
  <c r="C51" i="26"/>
  <c r="J51"/>
  <c r="CE58" i="12"/>
  <c r="A54" i="26"/>
  <c r="Q15" i="16"/>
  <c r="B54" i="26"/>
  <c r="M54"/>
  <c r="F54"/>
  <c r="C54"/>
  <c r="J54"/>
  <c r="B40"/>
  <c r="F40"/>
  <c r="M40"/>
  <c r="C40"/>
  <c r="J40"/>
  <c r="CE43" i="12"/>
  <c r="L20" i="16"/>
  <c r="A39" i="26"/>
  <c r="CF21" i="12"/>
  <c r="C17" i="26"/>
  <c r="J17"/>
  <c r="H18" i="16"/>
  <c r="CF22" i="12"/>
  <c r="H19" i="16"/>
  <c r="C18" i="26"/>
  <c r="J18"/>
  <c r="B49"/>
  <c r="F49"/>
  <c r="C49"/>
  <c r="J49"/>
  <c r="M49"/>
  <c r="B12"/>
  <c r="F12"/>
  <c r="M12"/>
  <c r="C12"/>
  <c r="J12"/>
  <c r="CE16" i="12"/>
  <c r="A12" i="26"/>
  <c r="G13" i="16"/>
  <c r="CE23" i="12"/>
  <c r="G20" i="16"/>
  <c r="A19" i="26"/>
  <c r="CF27" i="12"/>
  <c r="M4" i="16"/>
  <c r="B23" i="26"/>
  <c r="M23"/>
  <c r="C23"/>
  <c r="J23"/>
  <c r="F23"/>
  <c r="B28"/>
  <c r="C28"/>
  <c r="J28"/>
  <c r="F28"/>
  <c r="M28"/>
  <c r="CE32" i="12"/>
  <c r="L9" i="16"/>
  <c r="A28" i="26"/>
  <c r="CE29" i="12"/>
  <c r="A25" i="26"/>
  <c r="L6" i="16"/>
  <c r="B52" i="26"/>
  <c r="M52"/>
  <c r="C52"/>
  <c r="J52"/>
  <c r="F52"/>
  <c r="CE56" i="12"/>
  <c r="A52" i="26"/>
  <c r="Q13" i="16"/>
  <c r="CE36" i="12"/>
  <c r="L13" i="16"/>
  <c r="A32" i="26"/>
  <c r="CF36" i="12"/>
  <c r="M13" i="16"/>
  <c r="C32" i="26"/>
  <c r="J32"/>
  <c r="CE11" i="12"/>
  <c r="G8" i="16"/>
  <c r="A7" i="26"/>
  <c r="CE14" i="12"/>
  <c r="G11" i="16"/>
  <c r="A10" i="26"/>
  <c r="CE41" i="12"/>
  <c r="L18" i="16"/>
  <c r="A37" i="26"/>
  <c r="CF41" i="12"/>
  <c r="M18" i="16"/>
  <c r="C37" i="26"/>
  <c r="J37"/>
  <c r="B38"/>
  <c r="M38"/>
  <c r="F38"/>
  <c r="CF42" i="12"/>
  <c r="C38" i="26"/>
  <c r="J38"/>
  <c r="M19" i="16"/>
  <c r="CF8" i="12"/>
  <c r="C4" i="26"/>
  <c r="J4"/>
  <c r="H5" i="16"/>
  <c r="CE8" i="12"/>
  <c r="G5" i="16"/>
  <c r="A4" i="26"/>
  <c r="CF30" i="12"/>
  <c r="M7" i="16"/>
  <c r="B26" i="26"/>
  <c r="C26"/>
  <c r="J26"/>
  <c r="M26"/>
  <c r="F26"/>
  <c r="B8"/>
  <c r="F8"/>
  <c r="M8"/>
  <c r="C8"/>
  <c r="J8"/>
  <c r="CE12" i="12"/>
  <c r="A8" i="26"/>
  <c r="G9" i="16"/>
  <c r="CF9" i="12"/>
  <c r="H6" i="16"/>
  <c r="B5" i="26"/>
  <c r="F5"/>
  <c r="C5"/>
  <c r="J5"/>
  <c r="M5"/>
  <c r="CE57" i="12"/>
  <c r="A53" i="26"/>
  <c r="Q14" i="16"/>
  <c r="B53" i="26"/>
  <c r="C53"/>
  <c r="J53"/>
  <c r="M53"/>
  <c r="F53"/>
  <c r="CE13" i="12"/>
  <c r="G10" i="16"/>
  <c r="A9" i="26"/>
  <c r="CF13" i="12"/>
  <c r="C9" i="26"/>
  <c r="J9"/>
  <c r="H10" i="16"/>
  <c r="CB13" i="12"/>
  <c r="CB12"/>
  <c r="CB14"/>
  <c r="CD13"/>
  <c r="F10" i="16"/>
  <c r="B43" i="26"/>
  <c r="F43"/>
  <c r="C43"/>
  <c r="J43"/>
  <c r="M43"/>
  <c r="B13"/>
  <c r="M13"/>
  <c r="F13"/>
  <c r="C13"/>
  <c r="J13"/>
  <c r="AV51" i="12"/>
  <c r="H48" i="15"/>
  <c r="AV49" i="12"/>
  <c r="AR49"/>
  <c r="AR50"/>
  <c r="AR51"/>
  <c r="AR52"/>
  <c r="AT51"/>
  <c r="F48" i="15"/>
  <c r="AV27" i="12"/>
  <c r="H24" i="15"/>
  <c r="AV8" i="12"/>
  <c r="H5" i="15"/>
  <c r="AV56" i="12"/>
  <c r="H53" i="15"/>
  <c r="AV32" i="12"/>
  <c r="H29" i="15"/>
  <c r="AV31" i="12"/>
  <c r="H28" i="15"/>
  <c r="AV29" i="12"/>
  <c r="H26" i="15"/>
  <c r="AV45" i="12"/>
  <c r="H42" i="15"/>
  <c r="AR45" i="12"/>
  <c r="AV43"/>
  <c r="AR44"/>
  <c r="AR46"/>
  <c r="AT45"/>
  <c r="F42" i="15"/>
  <c r="AV12" i="12"/>
  <c r="H9" i="15"/>
  <c r="AV37" i="12"/>
  <c r="H34" i="15"/>
  <c r="AV35" i="12"/>
  <c r="AR36"/>
  <c r="AR37"/>
  <c r="AR38"/>
  <c r="AT37"/>
  <c r="F34" i="15"/>
  <c r="AV20" i="12"/>
  <c r="H17" i="15"/>
  <c r="AV18" i="12"/>
  <c r="AR19"/>
  <c r="AR20"/>
  <c r="AR21"/>
  <c r="AT20"/>
  <c r="F17" i="15"/>
  <c r="AV61" i="12"/>
  <c r="H58" i="15"/>
  <c r="AR61" i="12"/>
  <c r="AV59"/>
  <c r="AR60"/>
  <c r="AR62"/>
  <c r="AT61"/>
  <c r="F58" i="15"/>
  <c r="AV55" i="12"/>
  <c r="H52" i="15"/>
  <c r="AV53" i="12"/>
  <c r="H50" i="15"/>
  <c r="CE54" i="12"/>
  <c r="A50" i="26"/>
  <c r="Q11" i="16"/>
  <c r="CF54" i="12"/>
  <c r="C50" i="26"/>
  <c r="J50"/>
  <c r="R11" i="16"/>
  <c r="CE39" i="12"/>
  <c r="L16" i="16"/>
  <c r="A35" i="26"/>
  <c r="CF60" i="12"/>
  <c r="C56" i="26"/>
  <c r="J56"/>
  <c r="R17" i="16"/>
  <c r="CF45" i="12"/>
  <c r="C41" i="26"/>
  <c r="J41"/>
  <c r="M22" i="16"/>
  <c r="B11" i="26"/>
  <c r="M11"/>
  <c r="C11"/>
  <c r="J11"/>
  <c r="F11"/>
  <c r="B29"/>
  <c r="F29"/>
  <c r="C29"/>
  <c r="J29"/>
  <c r="M29"/>
  <c r="CE33" i="12"/>
  <c r="A29" i="26"/>
  <c r="L10" i="16"/>
  <c r="CE50" i="12"/>
  <c r="A46" i="26"/>
  <c r="Q7" i="16"/>
  <c r="CE34" i="12"/>
  <c r="A30" i="26"/>
  <c r="L11" i="16"/>
  <c r="CF34" i="12"/>
  <c r="C30" i="26"/>
  <c r="J30"/>
  <c r="M11" i="16"/>
  <c r="CF49" i="12"/>
  <c r="R6" i="16"/>
  <c r="C45" i="26"/>
  <c r="J45"/>
  <c r="CE49" i="12"/>
  <c r="Q6" i="16"/>
  <c r="A45" i="26"/>
  <c r="CE18" i="12"/>
  <c r="A14" i="26"/>
  <c r="G15" i="16"/>
  <c r="B14" i="26"/>
  <c r="C14"/>
  <c r="J14"/>
  <c r="M14"/>
  <c r="F14"/>
  <c r="AV28" i="12"/>
  <c r="H25" i="15"/>
  <c r="AV23" i="12"/>
  <c r="H20" i="15"/>
  <c r="AV57" i="12"/>
  <c r="H54" i="15"/>
  <c r="AV33" i="12"/>
  <c r="H30" i="15"/>
  <c r="AV14" i="12"/>
  <c r="H11" i="15"/>
  <c r="AV16" i="12"/>
  <c r="H13" i="15"/>
  <c r="AV47" i="12"/>
  <c r="H44" i="15"/>
  <c r="AR47" i="12"/>
  <c r="AR48"/>
  <c r="AT47"/>
  <c r="F44" i="15"/>
  <c r="AV39" i="12"/>
  <c r="H36" i="15"/>
  <c r="AR39" i="12"/>
  <c r="AR40"/>
  <c r="AT39"/>
  <c r="F36" i="15"/>
  <c r="AV41" i="12"/>
  <c r="H38" i="15"/>
  <c r="AR41" i="12"/>
  <c r="AR42"/>
  <c r="AT41"/>
  <c r="F38" i="15"/>
  <c r="AV10" i="12"/>
  <c r="H7" i="15"/>
  <c r="AV24" i="12"/>
  <c r="H21" i="15"/>
  <c r="H46"/>
  <c r="AT49" i="12"/>
  <c r="F46" i="15"/>
  <c r="H15"/>
  <c r="AR18" i="12"/>
  <c r="AR17"/>
  <c r="AT18"/>
  <c r="F15" i="15"/>
  <c r="AV15" i="12"/>
  <c r="H12" i="15"/>
  <c r="AV25" i="12"/>
  <c r="H22" i="15"/>
  <c r="AR25" i="12"/>
  <c r="AR24"/>
  <c r="AR26"/>
  <c r="AT25"/>
  <c r="F22" i="15"/>
  <c r="AV9" i="12"/>
  <c r="H6" i="15"/>
  <c r="AR9" i="12"/>
  <c r="AR8"/>
  <c r="AR10"/>
  <c r="AT9"/>
  <c r="F6" i="15"/>
  <c r="AV11" i="12"/>
  <c r="H8" i="15"/>
  <c r="AR11" i="12"/>
  <c r="AR12"/>
  <c r="AT11"/>
  <c r="F8" i="15"/>
  <c r="AV34" i="12"/>
  <c r="H31" i="15"/>
  <c r="H56"/>
  <c r="AR59" i="12"/>
  <c r="AR58"/>
  <c r="AT59"/>
  <c r="F56" i="15"/>
  <c r="H32"/>
  <c r="AR34" i="12"/>
  <c r="AR35"/>
  <c r="AT35"/>
  <c r="F32" i="15"/>
  <c r="AV13" i="12"/>
  <c r="H10" i="15"/>
  <c r="AV54" i="12"/>
  <c r="H51" i="15"/>
  <c r="AR53" i="12"/>
  <c r="AR54"/>
  <c r="AR55"/>
  <c r="AT54"/>
  <c r="F51" i="15"/>
  <c r="H40"/>
  <c r="AR43" i="12"/>
  <c r="AT43"/>
  <c r="F40" i="15"/>
  <c r="AV22" i="12"/>
  <c r="H19" i="15"/>
  <c r="B31" i="26"/>
  <c r="CF35" i="12"/>
  <c r="C31" i="26"/>
  <c r="J31"/>
  <c r="M12" i="16"/>
  <c r="CB34" i="12"/>
  <c r="CB35"/>
  <c r="CB36"/>
  <c r="CD35"/>
  <c r="K12" i="16"/>
  <c r="F31" i="26"/>
  <c r="M31"/>
  <c r="CF24" i="12"/>
  <c r="H21" i="16"/>
  <c r="C20" i="26"/>
  <c r="J20"/>
  <c r="CB24" i="12"/>
  <c r="CB23"/>
  <c r="CB25"/>
  <c r="CD24"/>
  <c r="F21" i="16"/>
  <c r="CF28" i="12"/>
  <c r="C24" i="26"/>
  <c r="J24"/>
  <c r="M5" i="16"/>
  <c r="CB28" i="12"/>
  <c r="CF26"/>
  <c r="CB27"/>
  <c r="CB29"/>
  <c r="CD28"/>
  <c r="K5" i="16"/>
  <c r="CE28" i="12"/>
  <c r="A24" i="26"/>
  <c r="L5" i="16"/>
  <c r="CE26" i="12"/>
  <c r="A22" i="26"/>
  <c r="G23" i="16"/>
  <c r="H23"/>
  <c r="C22" i="26"/>
  <c r="J22"/>
  <c r="CB26" i="12"/>
  <c r="CD26"/>
  <c r="F23" i="16"/>
  <c r="B21" i="26"/>
  <c r="C21"/>
  <c r="J21"/>
  <c r="M21"/>
  <c r="F21"/>
  <c r="B6"/>
  <c r="M6"/>
  <c r="F6"/>
  <c r="C6"/>
  <c r="J6"/>
  <c r="CE37" i="12"/>
  <c r="A33" i="26"/>
  <c r="L14" i="16"/>
  <c r="CF31" i="12"/>
  <c r="M8" i="16"/>
  <c r="CB31" i="12"/>
  <c r="CB30"/>
  <c r="CB32"/>
  <c r="CD31"/>
  <c r="K8" i="16"/>
  <c r="B27" i="26"/>
  <c r="F27"/>
  <c r="C27"/>
  <c r="J27"/>
  <c r="M27"/>
  <c r="CF38" i="12"/>
  <c r="C34" i="26"/>
  <c r="J34"/>
  <c r="M15" i="16"/>
  <c r="B36" i="26"/>
  <c r="C36"/>
  <c r="J36"/>
  <c r="M36"/>
  <c r="F36"/>
  <c r="CF46" i="12"/>
  <c r="M23" i="16"/>
  <c r="B42" i="26"/>
  <c r="M42"/>
  <c r="C42"/>
  <c r="J42"/>
  <c r="F42"/>
  <c r="B55"/>
  <c r="F55"/>
  <c r="M55"/>
  <c r="C55"/>
  <c r="J55"/>
  <c r="CE59" i="12"/>
  <c r="A55" i="26"/>
  <c r="Q16" i="16"/>
  <c r="CF48" i="12"/>
  <c r="C44" i="26"/>
  <c r="J44"/>
  <c r="R5" i="16"/>
  <c r="CB48" i="12"/>
  <c r="CB47"/>
  <c r="CB49"/>
  <c r="CD48"/>
  <c r="P5" i="16"/>
  <c r="CF61" i="12"/>
  <c r="C57" i="26"/>
  <c r="J57"/>
  <c r="R18" i="16"/>
  <c r="CB61" i="12"/>
  <c r="CB60"/>
  <c r="CB62"/>
  <c r="CD61"/>
  <c r="P18" i="16"/>
  <c r="AE15" i="29"/>
  <c r="AF15"/>
  <c r="G13" i="30"/>
  <c r="H13"/>
  <c r="AD14" i="29"/>
  <c r="F12" i="30"/>
  <c r="X26" i="29"/>
  <c r="Y22"/>
  <c r="AA22"/>
  <c r="AC22"/>
  <c r="E20" i="30"/>
  <c r="B20"/>
  <c r="AD24" i="29"/>
  <c r="F22" i="30"/>
  <c r="Y10" i="29"/>
  <c r="AA10"/>
  <c r="B8" i="30"/>
  <c r="AC10" i="29"/>
  <c r="E8" i="30"/>
  <c r="AE13" i="29"/>
  <c r="H11" i="30"/>
  <c r="AF13" i="29"/>
  <c r="G11" i="30"/>
  <c r="Y11" i="29"/>
  <c r="AA11"/>
  <c r="AC11"/>
  <c r="E9" i="30"/>
  <c r="B9"/>
  <c r="Y8" i="29"/>
  <c r="AA8"/>
  <c r="AC8"/>
  <c r="E6" i="30"/>
  <c r="B6"/>
  <c r="Y12" i="29"/>
  <c r="AA12"/>
  <c r="AC12"/>
  <c r="E10" i="30"/>
  <c r="B10"/>
  <c r="Y23" i="29"/>
  <c r="AA23"/>
  <c r="AC23"/>
  <c r="E21" i="30"/>
  <c r="B21"/>
  <c r="Y21" i="29"/>
  <c r="AA21"/>
  <c r="AC21"/>
  <c r="E19" i="30"/>
  <c r="B19"/>
  <c r="Y17" i="29"/>
  <c r="AA17"/>
  <c r="AC17"/>
  <c r="E15" i="30"/>
  <c r="B15"/>
  <c r="AD15" i="29"/>
  <c r="F13" i="30"/>
  <c r="AE14" i="29"/>
  <c r="H12" i="30"/>
  <c r="AF14" i="29"/>
  <c r="G12" i="30"/>
  <c r="Y19" i="29"/>
  <c r="AA19"/>
  <c r="B17" i="30"/>
  <c r="AC19" i="29"/>
  <c r="E17" i="30"/>
  <c r="Y16" i="29"/>
  <c r="AA16"/>
  <c r="B14" i="30"/>
  <c r="AC16" i="29"/>
  <c r="E14" i="30"/>
  <c r="Y18" i="29"/>
  <c r="AA18"/>
  <c r="AC18"/>
  <c r="E16" i="30"/>
  <c r="B16"/>
  <c r="Y9" i="29"/>
  <c r="AA9"/>
  <c r="B7" i="30"/>
  <c r="AC9" i="29"/>
  <c r="E7" i="30"/>
  <c r="Y26" i="29"/>
  <c r="AA26"/>
  <c r="AC26"/>
  <c r="E24" i="30"/>
  <c r="B24"/>
  <c r="Y20" i="29"/>
  <c r="AA20"/>
  <c r="AC20"/>
  <c r="E18" i="30"/>
  <c r="B18"/>
  <c r="Y25" i="29"/>
  <c r="AA25"/>
  <c r="B23" i="30"/>
  <c r="AC25" i="29"/>
  <c r="E23" i="30"/>
  <c r="AE7" i="29"/>
  <c r="AF7"/>
  <c r="G5" i="30"/>
  <c r="H5"/>
  <c r="AE24" i="29"/>
  <c r="H22" i="30"/>
  <c r="AF24" i="29"/>
  <c r="G22" i="30"/>
  <c r="AR22" i="12"/>
  <c r="AR23"/>
  <c r="AT22"/>
  <c r="F19" i="15"/>
  <c r="AR13" i="12"/>
  <c r="AR14"/>
  <c r="AT13"/>
  <c r="F10" i="15"/>
  <c r="AH49" i="12"/>
  <c r="AJ49"/>
  <c r="AL49"/>
  <c r="AH32"/>
  <c r="AJ32"/>
  <c r="AL32"/>
  <c r="AH46"/>
  <c r="AJ46"/>
  <c r="AL46"/>
  <c r="AH41"/>
  <c r="AJ41"/>
  <c r="AL41"/>
  <c r="AG61"/>
  <c r="AH35"/>
  <c r="AJ35"/>
  <c r="AL35"/>
  <c r="CB21"/>
  <c r="CB19"/>
  <c r="CB20"/>
  <c r="CB22"/>
  <c r="CD21"/>
  <c r="F18" i="16"/>
  <c r="AH33" i="12"/>
  <c r="AJ33"/>
  <c r="AL33"/>
  <c r="AH31"/>
  <c r="AJ31"/>
  <c r="AL31"/>
  <c r="AH26"/>
  <c r="AJ26"/>
  <c r="AL26"/>
  <c r="AH47"/>
  <c r="AJ47"/>
  <c r="AL47"/>
  <c r="H7"/>
  <c r="H8"/>
  <c r="H9"/>
  <c r="H10"/>
  <c r="H11"/>
  <c r="H12"/>
  <c r="H13"/>
  <c r="H14"/>
  <c r="H15"/>
  <c r="H16"/>
  <c r="H17"/>
  <c r="H18"/>
  <c r="H19"/>
  <c r="H20"/>
  <c r="H21"/>
  <c r="H22"/>
  <c r="H23"/>
  <c r="H24"/>
  <c r="H25"/>
  <c r="H26"/>
  <c r="H27"/>
  <c r="H28"/>
  <c r="H29"/>
  <c r="H30"/>
  <c r="H31"/>
  <c r="H32"/>
  <c r="H33"/>
  <c r="H34"/>
  <c r="H35"/>
  <c r="H36"/>
  <c r="H37"/>
  <c r="H38"/>
  <c r="H39"/>
  <c r="H40"/>
  <c r="H41"/>
  <c r="H42"/>
  <c r="H43"/>
  <c r="H44"/>
  <c r="H45"/>
  <c r="H46"/>
  <c r="H47"/>
  <c r="H48"/>
  <c r="H49"/>
  <c r="H50"/>
  <c r="H51"/>
  <c r="H52"/>
  <c r="H53"/>
  <c r="H54"/>
  <c r="H55"/>
  <c r="H56"/>
  <c r="H57"/>
  <c r="H58"/>
  <c r="H59"/>
  <c r="H60"/>
  <c r="H61"/>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L61"/>
  <c r="N61"/>
  <c r="AH61"/>
  <c r="AJ61"/>
  <c r="AM61"/>
  <c r="AM60"/>
  <c r="AI61"/>
  <c r="AM59"/>
  <c r="AI60"/>
  <c r="AK61"/>
  <c r="AL61"/>
  <c r="AH57"/>
  <c r="AJ57"/>
  <c r="AL57"/>
  <c r="AH28"/>
  <c r="AJ28"/>
  <c r="AL28"/>
  <c r="AH48"/>
  <c r="AJ48"/>
  <c r="AL48"/>
  <c r="AH11"/>
  <c r="AJ11"/>
  <c r="AL11"/>
  <c r="AH23"/>
  <c r="AJ23"/>
  <c r="AL23"/>
  <c r="AH14"/>
  <c r="AJ14"/>
  <c r="AL14"/>
  <c r="AH39"/>
  <c r="AJ39"/>
  <c r="AL39"/>
  <c r="CB57"/>
  <c r="CB56"/>
  <c r="CB58"/>
  <c r="CD57"/>
  <c r="P14" i="16"/>
  <c r="L34" i="12"/>
  <c r="N34"/>
  <c r="AM34"/>
  <c r="AM33"/>
  <c r="AI34"/>
  <c r="AM32"/>
  <c r="AI33"/>
  <c r="AM35"/>
  <c r="AI35"/>
  <c r="AK34"/>
  <c r="L20"/>
  <c r="N20"/>
  <c r="AM20"/>
  <c r="AM19"/>
  <c r="AM18"/>
  <c r="AI19"/>
  <c r="AI20"/>
  <c r="AM21"/>
  <c r="AI21"/>
  <c r="AK20"/>
  <c r="L42"/>
  <c r="N42"/>
  <c r="AM42"/>
  <c r="AM41"/>
  <c r="AI42"/>
  <c r="AM40"/>
  <c r="AI41"/>
  <c r="AM43"/>
  <c r="AI43"/>
  <c r="AK42"/>
  <c r="AR31"/>
  <c r="AR29"/>
  <c r="AR30"/>
  <c r="AR32"/>
  <c r="AT31"/>
  <c r="F28" i="15"/>
  <c r="AR57" i="12"/>
  <c r="AR56"/>
  <c r="AT57"/>
  <c r="F54" i="15"/>
  <c r="AR28" i="12"/>
  <c r="AR27"/>
  <c r="AT28"/>
  <c r="F25" i="15"/>
  <c r="CB9" i="12"/>
  <c r="CB8"/>
  <c r="CB10"/>
  <c r="CD9"/>
  <c r="F6" i="16"/>
  <c r="CB42" i="12"/>
  <c r="CB41"/>
  <c r="CB43"/>
  <c r="CD42"/>
  <c r="K19" i="16"/>
  <c r="CB45" i="12"/>
  <c r="CB44"/>
  <c r="CB46"/>
  <c r="CD45"/>
  <c r="K22" i="16"/>
  <c r="CD7" i="12"/>
  <c r="F4" i="16"/>
  <c r="CD8" i="12"/>
  <c r="F5" i="16"/>
  <c r="CD27" i="12"/>
  <c r="K4" i="16"/>
  <c r="CD20" i="12"/>
  <c r="F17" i="16"/>
  <c r="CB59" i="12"/>
  <c r="CD59"/>
  <c r="P16" i="16"/>
  <c r="CD25" i="12"/>
  <c r="F22" i="16"/>
  <c r="AT50" i="12"/>
  <c r="F47" i="15"/>
  <c r="AT52" i="12"/>
  <c r="F49" i="15"/>
  <c r="AT42" i="12"/>
  <c r="F39" i="15"/>
  <c r="AT60" i="12"/>
  <c r="F57" i="15"/>
  <c r="AT36" i="12"/>
  <c r="F33" i="15"/>
  <c r="AT38" i="12"/>
  <c r="F35" i="15"/>
  <c r="AT44" i="12"/>
  <c r="F41" i="15"/>
  <c r="AT46" i="12"/>
  <c r="F43" i="15"/>
  <c r="AT58" i="12"/>
  <c r="F55" i="15"/>
  <c r="AT40" i="12"/>
  <c r="F37" i="15"/>
  <c r="AT19" i="12"/>
  <c r="F16" i="15"/>
  <c r="AT30" i="12"/>
  <c r="F27" i="15"/>
  <c r="AT26" i="12"/>
  <c r="F23" i="15"/>
  <c r="CB18" i="12"/>
  <c r="CB17"/>
  <c r="CD18"/>
  <c r="F15" i="16"/>
  <c r="AT48" i="12"/>
  <c r="F45" i="15"/>
  <c r="AT21" i="12"/>
  <c r="F18" i="15"/>
  <c r="CB11" i="12"/>
  <c r="CD12"/>
  <c r="F9" i="16"/>
  <c r="CB15" i="12"/>
  <c r="CD14"/>
  <c r="F11" i="16"/>
  <c r="CB52" i="12"/>
  <c r="CB53"/>
  <c r="CB54"/>
  <c r="CB55"/>
  <c r="CD56"/>
  <c r="P13" i="16"/>
  <c r="CD23" i="12"/>
  <c r="F20" i="16"/>
  <c r="CB16" i="12"/>
  <c r="CD16"/>
  <c r="F13" i="16"/>
  <c r="CD44" i="12"/>
  <c r="K21" i="16"/>
  <c r="AT7" i="12"/>
  <c r="F4" i="15"/>
  <c r="AT8" i="12"/>
  <c r="F5" i="15"/>
  <c r="CB50" i="12"/>
  <c r="CD49"/>
  <c r="P6" i="16"/>
  <c r="CD46" i="12"/>
  <c r="K23" i="16"/>
  <c r="AR33" i="12"/>
  <c r="AT34"/>
  <c r="F31" i="15"/>
  <c r="AT24" i="12"/>
  <c r="F21" i="15"/>
  <c r="AT10" i="12"/>
  <c r="F7" i="15"/>
  <c r="AR15" i="12"/>
  <c r="AR16"/>
  <c r="AT16"/>
  <c r="F13" i="15"/>
  <c r="AT14" i="12"/>
  <c r="F11" i="15"/>
  <c r="AT33" i="12"/>
  <c r="F30" i="15"/>
  <c r="AT23" i="12"/>
  <c r="F20" i="15"/>
  <c r="CB33" i="12"/>
  <c r="CD34"/>
  <c r="K11" i="16"/>
  <c r="CD60" i="12"/>
  <c r="P17" i="16"/>
  <c r="AT53" i="12"/>
  <c r="F50" i="15"/>
  <c r="AT55" i="12"/>
  <c r="F52" i="15"/>
  <c r="AT12" i="12"/>
  <c r="F9" i="15"/>
  <c r="AT29" i="12"/>
  <c r="F26" i="15"/>
  <c r="AT32" i="12"/>
  <c r="F29" i="15"/>
  <c r="AT56" i="12"/>
  <c r="F53" i="15"/>
  <c r="AT27" i="12"/>
  <c r="F24" i="15"/>
  <c r="CD30" i="12"/>
  <c r="K7" i="16"/>
  <c r="CB40" i="12"/>
  <c r="CD41"/>
  <c r="K18" i="16"/>
  <c r="CD22" i="12"/>
  <c r="F19" i="16"/>
  <c r="CD55" i="12"/>
  <c r="P12" i="16"/>
  <c r="CB51" i="12"/>
  <c r="CD51"/>
  <c r="P8" i="16"/>
  <c r="CD19" i="12"/>
  <c r="F16" i="16"/>
  <c r="CB39" i="12"/>
  <c r="CD40"/>
  <c r="K17" i="16"/>
  <c r="CB37" i="12"/>
  <c r="CB38"/>
  <c r="CD37"/>
  <c r="K14" i="16"/>
  <c r="CD10" i="12"/>
  <c r="F7" i="16"/>
  <c r="CD50" i="12"/>
  <c r="P7" i="16"/>
  <c r="CD33" i="12"/>
  <c r="K10" i="16"/>
  <c r="CD39" i="12"/>
  <c r="K16" i="16"/>
  <c r="CD47" i="12"/>
  <c r="P4" i="16"/>
  <c r="CD11" i="12"/>
  <c r="F8" i="16"/>
  <c r="CD29" i="12"/>
  <c r="K6" i="16"/>
  <c r="CD32" i="12"/>
  <c r="K9" i="16"/>
  <c r="CD53" i="12"/>
  <c r="P10" i="16"/>
  <c r="CD43" i="12"/>
  <c r="K20" i="16"/>
  <c r="CD58" i="12"/>
  <c r="P15" i="16"/>
  <c r="AD25" i="29"/>
  <c r="F23" i="30"/>
  <c r="AE25" i="29"/>
  <c r="AF25"/>
  <c r="G23" i="30"/>
  <c r="H23"/>
  <c r="AD20" i="29"/>
  <c r="F18" i="30"/>
  <c r="AD26" i="29"/>
  <c r="F24" i="30"/>
  <c r="Z26" i="29"/>
  <c r="Z25"/>
  <c r="AB26"/>
  <c r="D24" i="30"/>
  <c r="AE9" i="29"/>
  <c r="H7" i="30"/>
  <c r="AF9" i="29"/>
  <c r="G7" i="30"/>
  <c r="AD18" i="29"/>
  <c r="F16" i="30"/>
  <c r="AD16" i="29"/>
  <c r="F14" i="30"/>
  <c r="AD19" i="29"/>
  <c r="F17" i="30"/>
  <c r="Z19" i="29"/>
  <c r="AD17"/>
  <c r="Z18"/>
  <c r="Z20"/>
  <c r="AB19"/>
  <c r="D17" i="30"/>
  <c r="AE17" i="29"/>
  <c r="H15" i="30"/>
  <c r="AF17" i="29"/>
  <c r="G15" i="30"/>
  <c r="F15"/>
  <c r="Z17" i="29"/>
  <c r="Z16"/>
  <c r="AB17"/>
  <c r="D15" i="30"/>
  <c r="AD21" i="29"/>
  <c r="F19" i="30"/>
  <c r="Z21" i="29"/>
  <c r="AD22"/>
  <c r="Z22"/>
  <c r="AB21"/>
  <c r="D19" i="30"/>
  <c r="AE23" i="29"/>
  <c r="H21" i="30"/>
  <c r="AF23" i="29"/>
  <c r="G21" i="30"/>
  <c r="AD12" i="29"/>
  <c r="F10" i="30"/>
  <c r="Z13" i="29"/>
  <c r="AD11"/>
  <c r="Z12"/>
  <c r="Z14"/>
  <c r="AB13"/>
  <c r="D11" i="30"/>
  <c r="AE12" i="29"/>
  <c r="H10" i="30"/>
  <c r="AF12" i="29"/>
  <c r="G10" i="30"/>
  <c r="AD8" i="29"/>
  <c r="F6" i="30"/>
  <c r="F9"/>
  <c r="AE10" i="29"/>
  <c r="AF10"/>
  <c r="G8" i="30"/>
  <c r="H8"/>
  <c r="F20"/>
  <c r="AE22" i="29"/>
  <c r="H20" i="30"/>
  <c r="AF22" i="29"/>
  <c r="G20" i="30"/>
  <c r="AE20" i="29"/>
  <c r="H18" i="30"/>
  <c r="AF20" i="29"/>
  <c r="G18" i="30"/>
  <c r="AE26" i="29"/>
  <c r="H24" i="30"/>
  <c r="AF26" i="29"/>
  <c r="G24" i="30"/>
  <c r="AD9" i="29"/>
  <c r="F7" i="30"/>
  <c r="AE18" i="29"/>
  <c r="AF18"/>
  <c r="G16" i="30"/>
  <c r="H16"/>
  <c r="AE16" i="29"/>
  <c r="H14" i="30"/>
  <c r="AF16" i="29"/>
  <c r="G14" i="30"/>
  <c r="AE19" i="29"/>
  <c r="H17" i="30"/>
  <c r="AF19" i="29"/>
  <c r="G17" i="30"/>
  <c r="AE21" i="29"/>
  <c r="H19" i="30"/>
  <c r="AF21" i="29"/>
  <c r="G19" i="30"/>
  <c r="AD23" i="29"/>
  <c r="F21" i="30"/>
  <c r="AE8" i="29"/>
  <c r="H6" i="30"/>
  <c r="AF8" i="29"/>
  <c r="G6" i="30"/>
  <c r="AE11" i="29"/>
  <c r="H9" i="30"/>
  <c r="AF11" i="29"/>
  <c r="G9" i="30"/>
  <c r="AD10" i="29"/>
  <c r="F8" i="30"/>
  <c r="Z10" i="29"/>
  <c r="Z9"/>
  <c r="Z11"/>
  <c r="AB10"/>
  <c r="D8" i="30"/>
  <c r="Z15" i="29"/>
  <c r="AB15"/>
  <c r="D13" i="30"/>
  <c r="AB14" i="29"/>
  <c r="D12" i="30"/>
  <c r="L24" i="12"/>
  <c r="N24"/>
  <c r="AM24"/>
  <c r="AM23"/>
  <c r="AI24"/>
  <c r="AM22"/>
  <c r="AI23"/>
  <c r="AM25"/>
  <c r="AI25"/>
  <c r="AK24"/>
  <c r="L10"/>
  <c r="N10"/>
  <c r="AM10"/>
  <c r="AM9"/>
  <c r="AI10"/>
  <c r="AM8"/>
  <c r="AI9"/>
  <c r="AM11"/>
  <c r="AI11"/>
  <c r="AK10"/>
  <c r="L45"/>
  <c r="N45"/>
  <c r="AM45"/>
  <c r="AM44"/>
  <c r="AI45"/>
  <c r="AI44"/>
  <c r="AM46"/>
  <c r="AI46"/>
  <c r="AK45"/>
  <c r="L13"/>
  <c r="N13"/>
  <c r="AM13"/>
  <c r="AM12"/>
  <c r="AI13"/>
  <c r="AI12"/>
  <c r="AM14"/>
  <c r="AI14"/>
  <c r="AK13"/>
  <c r="L29"/>
  <c r="N29"/>
  <c r="AM29"/>
  <c r="AM28"/>
  <c r="AI29"/>
  <c r="AM27"/>
  <c r="AI28"/>
  <c r="AM30"/>
  <c r="AI30"/>
  <c r="AK29"/>
  <c r="L56"/>
  <c r="N56"/>
  <c r="AM56"/>
  <c r="AM55"/>
  <c r="AI56"/>
  <c r="AM54"/>
  <c r="AM53"/>
  <c r="AM52"/>
  <c r="AM51"/>
  <c r="AI52"/>
  <c r="AI53"/>
  <c r="AI54"/>
  <c r="AI55"/>
  <c r="AM57"/>
  <c r="AI57"/>
  <c r="AK56"/>
  <c r="L58"/>
  <c r="N58"/>
  <c r="AM58"/>
  <c r="AI58"/>
  <c r="AI59"/>
  <c r="AK58"/>
  <c r="L54"/>
  <c r="N54"/>
  <c r="AK54"/>
  <c r="L9"/>
  <c r="N9"/>
  <c r="AM7"/>
  <c r="AI8"/>
  <c r="AK9"/>
  <c r="L36"/>
  <c r="N36"/>
  <c r="AM36"/>
  <c r="AI36"/>
  <c r="AM37"/>
  <c r="AI37"/>
  <c r="AK36"/>
  <c r="C15" i="17"/>
  <c r="L55" i="12"/>
  <c r="N55"/>
  <c r="AK55"/>
  <c r="L21"/>
  <c r="N21"/>
  <c r="AI22"/>
  <c r="AK21"/>
  <c r="L44"/>
  <c r="N44"/>
  <c r="AK44"/>
  <c r="L12"/>
  <c r="N12"/>
  <c r="AK12"/>
  <c r="L30"/>
  <c r="N30"/>
  <c r="AM31"/>
  <c r="AI31"/>
  <c r="AK30"/>
  <c r="L23"/>
  <c r="N23"/>
  <c r="AK23"/>
  <c r="L11"/>
  <c r="N11"/>
  <c r="AK11"/>
  <c r="L40"/>
  <c r="N40"/>
  <c r="AM39"/>
  <c r="AI40"/>
  <c r="AM38"/>
  <c r="AI39"/>
  <c r="AK40"/>
  <c r="L27"/>
  <c r="N27"/>
  <c r="AM26"/>
  <c r="AI27"/>
  <c r="AI26"/>
  <c r="AK27"/>
  <c r="L25"/>
  <c r="N25"/>
  <c r="AK25"/>
  <c r="L49"/>
  <c r="N49"/>
  <c r="AM49"/>
  <c r="AM48"/>
  <c r="AI49"/>
  <c r="AM47"/>
  <c r="AI48"/>
  <c r="AM50"/>
  <c r="AI50"/>
  <c r="AK49"/>
  <c r="L53"/>
  <c r="N53"/>
  <c r="AK53"/>
  <c r="L7"/>
  <c r="N7"/>
  <c r="AK7"/>
  <c r="L8"/>
  <c r="N8"/>
  <c r="AK8"/>
  <c r="L19"/>
  <c r="N19"/>
  <c r="AM17"/>
  <c r="AI18"/>
  <c r="AK19"/>
  <c r="L59"/>
  <c r="N59"/>
  <c r="AK59"/>
  <c r="L28"/>
  <c r="N28"/>
  <c r="AK28"/>
  <c r="L57"/>
  <c r="N57"/>
  <c r="AK57"/>
  <c r="L60"/>
  <c r="N60"/>
  <c r="AK60"/>
  <c r="L18"/>
  <c r="N18"/>
  <c r="AM16"/>
  <c r="AI17"/>
  <c r="AK18"/>
  <c r="L43"/>
  <c r="N43"/>
  <c r="AK43"/>
  <c r="L22"/>
  <c r="N22"/>
  <c r="AK22"/>
  <c r="K61"/>
  <c r="L35"/>
  <c r="N35"/>
  <c r="AK35"/>
  <c r="L32"/>
  <c r="N32"/>
  <c r="AI32"/>
  <c r="AK32"/>
  <c r="CD17"/>
  <c r="F14" i="16"/>
  <c r="CD15" i="12"/>
  <c r="F12" i="16"/>
  <c r="CD52" i="12"/>
  <c r="P9" i="16"/>
  <c r="CD54" i="12"/>
  <c r="P11" i="16"/>
  <c r="AT15" i="12"/>
  <c r="F12" i="15"/>
  <c r="CD38" i="12"/>
  <c r="K15" i="16"/>
  <c r="AT17" i="12"/>
  <c r="F14" i="15"/>
  <c r="CD36" i="12"/>
  <c r="K13" i="16"/>
  <c r="L48" i="12"/>
  <c r="N48"/>
  <c r="AI47"/>
  <c r="AK48"/>
  <c r="L41"/>
  <c r="N41"/>
  <c r="AK41"/>
  <c r="L47"/>
  <c r="N47"/>
  <c r="AK47"/>
  <c r="L46"/>
  <c r="N46"/>
  <c r="AK46"/>
  <c r="Z23" i="29"/>
  <c r="Z24"/>
  <c r="AB23"/>
  <c r="D21" i="30"/>
  <c r="AB24" i="29"/>
  <c r="D22" i="30"/>
  <c r="Z8" i="29"/>
  <c r="AB7"/>
  <c r="D5" i="30"/>
  <c r="AB8" i="29"/>
  <c r="D6" i="30"/>
  <c r="AB9" i="29"/>
  <c r="D7" i="30"/>
  <c r="AB22" i="29"/>
  <c r="D20" i="30"/>
  <c r="AB11" i="29"/>
  <c r="D9" i="30"/>
  <c r="AB12" i="29"/>
  <c r="D10" i="30"/>
  <c r="AB16" i="29"/>
  <c r="D14" i="30"/>
  <c r="AB18" i="29"/>
  <c r="D16" i="30"/>
  <c r="AB20" i="29"/>
  <c r="D18" i="30"/>
  <c r="AB25" i="29"/>
  <c r="D23" i="30"/>
  <c r="L15" i="12"/>
  <c r="N15"/>
  <c r="AM15"/>
  <c r="AI15"/>
  <c r="AI16"/>
  <c r="AK15"/>
  <c r="L31"/>
  <c r="N31"/>
  <c r="AK31"/>
  <c r="L26"/>
  <c r="N26"/>
  <c r="AK26"/>
  <c r="L39"/>
  <c r="N39"/>
  <c r="AI38"/>
  <c r="AK39"/>
  <c r="L50"/>
  <c r="N50"/>
  <c r="AI51"/>
  <c r="AK50"/>
  <c r="L51"/>
  <c r="N51"/>
  <c r="AK51"/>
  <c r="L52"/>
  <c r="N52"/>
  <c r="AK52"/>
  <c r="L37"/>
  <c r="N37"/>
  <c r="AK37"/>
  <c r="L38"/>
  <c r="N38"/>
  <c r="AK38"/>
  <c r="L33"/>
  <c r="N33"/>
  <c r="AK33"/>
  <c r="L14"/>
  <c r="N14"/>
  <c r="AK14"/>
  <c r="BE15" i="17"/>
  <c r="BD15"/>
  <c r="BB15"/>
  <c r="BA15"/>
  <c r="AZ15"/>
  <c r="AY15"/>
  <c r="AW15"/>
  <c r="AV15"/>
  <c r="AU15"/>
  <c r="AS15"/>
  <c r="AR15"/>
  <c r="AQ15"/>
  <c r="AP15"/>
  <c r="AN15"/>
  <c r="AM15"/>
  <c r="AL15"/>
  <c r="AK15"/>
  <c r="AJ15"/>
  <c r="AH15"/>
  <c r="AG15"/>
  <c r="AE15"/>
  <c r="AD15"/>
  <c r="AC15"/>
  <c r="AB15"/>
  <c r="AA15"/>
  <c r="Z15"/>
  <c r="Y15"/>
  <c r="X15"/>
  <c r="W15"/>
  <c r="V15"/>
  <c r="U15"/>
  <c r="S15"/>
  <c r="R15"/>
  <c r="Q15"/>
  <c r="P15"/>
  <c r="O15"/>
  <c r="N15"/>
  <c r="M15"/>
  <c r="L15"/>
  <c r="K15"/>
  <c r="J15"/>
  <c r="I15"/>
  <c r="H15"/>
  <c r="G15"/>
  <c r="F15"/>
  <c r="E15"/>
  <c r="BC18"/>
  <c r="AX18"/>
  <c r="AT18"/>
  <c r="AO18"/>
  <c r="AI18"/>
  <c r="AF18"/>
  <c r="T18"/>
  <c r="D18"/>
  <c r="L16" i="12"/>
  <c r="N16"/>
  <c r="AK16"/>
  <c r="L17"/>
  <c r="N17"/>
  <c r="AK17"/>
  <c r="Q60"/>
  <c r="Q59"/>
  <c r="M60"/>
  <c r="Q58"/>
  <c r="M59"/>
  <c r="Q61"/>
  <c r="M61"/>
  <c r="O60"/>
  <c r="F58" i="14"/>
  <c r="L62" i="12"/>
  <c r="M62"/>
  <c r="O61"/>
  <c r="F59" i="14"/>
  <c r="Q57" i="12"/>
  <c r="M58"/>
  <c r="O59"/>
  <c r="F57" i="14"/>
  <c r="Q56" i="12"/>
  <c r="M57"/>
  <c r="O58"/>
  <c r="F56" i="14"/>
  <c r="Q55" i="12"/>
  <c r="M56"/>
  <c r="O57"/>
  <c r="F55" i="14"/>
  <c r="Q54" i="12"/>
  <c r="Q53"/>
  <c r="Q52"/>
  <c r="Q51"/>
  <c r="M52"/>
  <c r="M53"/>
  <c r="M54"/>
  <c r="M55"/>
  <c r="O56"/>
  <c r="F54" i="14"/>
  <c r="O55" i="12"/>
  <c r="F53" i="14"/>
  <c r="O54" i="12"/>
  <c r="F52" i="14"/>
  <c r="O53" i="12"/>
  <c r="F51" i="14"/>
  <c r="Q50" i="12"/>
  <c r="Q49"/>
  <c r="Q48"/>
  <c r="M49"/>
  <c r="M50"/>
  <c r="M51"/>
  <c r="O52"/>
  <c r="F50" i="14"/>
  <c r="O51" i="12"/>
  <c r="F49" i="14"/>
  <c r="Q37" i="12"/>
  <c r="Q36"/>
  <c r="Q35"/>
  <c r="M36"/>
  <c r="M37"/>
  <c r="Q38"/>
  <c r="M38"/>
  <c r="O37"/>
  <c r="F35" i="14"/>
  <c r="O50" i="12"/>
  <c r="F48" i="14"/>
  <c r="Q39" i="12"/>
  <c r="M39"/>
  <c r="Q40"/>
  <c r="M40"/>
  <c r="O39"/>
  <c r="F37" i="14"/>
  <c r="O38" i="12"/>
  <c r="F36" i="14"/>
  <c r="Q24" i="12"/>
  <c r="Q23"/>
  <c r="M24"/>
  <c r="Q22"/>
  <c r="M23"/>
  <c r="Q25"/>
  <c r="M25"/>
  <c r="O24"/>
  <c r="F22" i="14"/>
  <c r="Q21" i="12"/>
  <c r="M22"/>
  <c r="O23"/>
  <c r="F21" i="14"/>
  <c r="Q47" i="12"/>
  <c r="M48"/>
  <c r="Q46"/>
  <c r="M47"/>
  <c r="O48"/>
  <c r="F46" i="14"/>
  <c r="O49" i="12"/>
  <c r="F47" i="14"/>
  <c r="Q34" i="12"/>
  <c r="Q33"/>
  <c r="M34"/>
  <c r="M35"/>
  <c r="O36"/>
  <c r="F34" i="14"/>
  <c r="Q20" i="12"/>
  <c r="M21"/>
  <c r="O22"/>
  <c r="F20" i="14"/>
  <c r="Q19" i="12"/>
  <c r="Q18"/>
  <c r="M19"/>
  <c r="M20"/>
  <c r="O21"/>
  <c r="F19" i="14"/>
  <c r="O35" i="12"/>
  <c r="F33" i="14"/>
  <c r="Q45" i="12"/>
  <c r="M46"/>
  <c r="O47"/>
  <c r="F45" i="14"/>
  <c r="Q44" i="12"/>
  <c r="M45"/>
  <c r="Q43"/>
  <c r="M44"/>
  <c r="O45"/>
  <c r="F43" i="14"/>
  <c r="Q32" i="12"/>
  <c r="M33"/>
  <c r="Q31"/>
  <c r="M32"/>
  <c r="O33"/>
  <c r="F31" i="14"/>
  <c r="Q17" i="12"/>
  <c r="M18"/>
  <c r="O19"/>
  <c r="F17" i="14"/>
  <c r="O46" i="12"/>
  <c r="F44" i="14"/>
  <c r="O34" i="12"/>
  <c r="F32" i="14"/>
  <c r="O20" i="12"/>
  <c r="F18" i="14"/>
  <c r="Q13" i="12"/>
  <c r="Q12"/>
  <c r="M13"/>
  <c r="Q11"/>
  <c r="M12"/>
  <c r="Q14"/>
  <c r="M14"/>
  <c r="O13"/>
  <c r="F11" i="14"/>
  <c r="Q10" i="12"/>
  <c r="M11"/>
  <c r="O12"/>
  <c r="F10" i="14"/>
  <c r="Q42" i="12"/>
  <c r="M43"/>
  <c r="O44"/>
  <c r="F42" i="14"/>
  <c r="Q30" i="12"/>
  <c r="M31"/>
  <c r="O32"/>
  <c r="F30" i="14"/>
  <c r="Q16" i="12"/>
  <c r="M17"/>
  <c r="O18"/>
  <c r="F16" i="14"/>
  <c r="Q15" i="12"/>
  <c r="M15"/>
  <c r="M16"/>
  <c r="O16"/>
  <c r="F14" i="14"/>
  <c r="Q29" i="12"/>
  <c r="Q28"/>
  <c r="M29"/>
  <c r="M30"/>
  <c r="O30"/>
  <c r="F28" i="14"/>
  <c r="Q41" i="12"/>
  <c r="M42"/>
  <c r="M41"/>
  <c r="O42"/>
  <c r="F40" i="14"/>
  <c r="Q9" i="12"/>
  <c r="M10"/>
  <c r="Q8"/>
  <c r="M9"/>
  <c r="O10"/>
  <c r="F8" i="14"/>
  <c r="O17" i="12"/>
  <c r="F15" i="14"/>
  <c r="O31" i="12"/>
  <c r="F29" i="14"/>
  <c r="O43" i="12"/>
  <c r="F41" i="14"/>
  <c r="O11" i="12"/>
  <c r="F9" i="14"/>
  <c r="Q7" i="12"/>
  <c r="M8"/>
  <c r="O8"/>
  <c r="F6" i="14"/>
  <c r="O40" i="12"/>
  <c r="F38" i="14"/>
  <c r="Q27" i="12"/>
  <c r="M28"/>
  <c r="Q26"/>
  <c r="M27"/>
  <c r="O28"/>
  <c r="F26" i="14"/>
  <c r="O15" i="12"/>
  <c r="F13" i="14"/>
  <c r="O29" i="12"/>
  <c r="F27" i="14"/>
  <c r="O41" i="12"/>
  <c r="F39" i="14"/>
  <c r="O9" i="12"/>
  <c r="F7" i="14"/>
  <c r="M26" i="12"/>
  <c r="O27"/>
  <c r="F25" i="14"/>
  <c r="O25" i="12"/>
  <c r="F23" i="14"/>
  <c r="O26" i="12"/>
  <c r="F24" i="14"/>
  <c r="O7" i="12"/>
  <c r="F5" i="14"/>
  <c r="O14" i="12"/>
  <c r="F12" i="14"/>
  <c r="H57"/>
  <c r="J57"/>
  <c r="H13"/>
  <c r="J13"/>
  <c r="H30"/>
  <c r="J30"/>
  <c r="H50"/>
  <c r="J50"/>
  <c r="H54"/>
  <c r="J54"/>
  <c r="H48"/>
  <c r="J48"/>
  <c r="H33"/>
  <c r="J33"/>
  <c r="H20"/>
  <c r="J20"/>
  <c r="H47"/>
  <c r="J47"/>
  <c r="H42"/>
  <c r="J42"/>
  <c r="H32"/>
  <c r="J32"/>
  <c r="H26"/>
  <c r="J26"/>
  <c r="H45"/>
  <c r="J45"/>
  <c r="H36"/>
  <c r="J36"/>
  <c r="H25"/>
  <c r="J25"/>
  <c r="H27"/>
  <c r="J27"/>
  <c r="H28"/>
  <c r="J28"/>
  <c r="H55"/>
  <c r="J55"/>
  <c r="H9"/>
  <c r="J9"/>
  <c r="H41"/>
  <c r="J41"/>
  <c r="H11"/>
  <c r="J11"/>
  <c r="H44"/>
  <c r="J44"/>
  <c r="H19"/>
  <c r="J19"/>
  <c r="H15"/>
  <c r="J15"/>
  <c r="H40"/>
  <c r="J40"/>
  <c r="H46"/>
  <c r="J46"/>
  <c r="H35"/>
  <c r="J35"/>
  <c r="H16"/>
  <c r="J16"/>
  <c r="H49"/>
  <c r="J49"/>
  <c r="H38"/>
  <c r="J38"/>
  <c r="H59"/>
  <c r="J59"/>
  <c r="H52"/>
  <c r="J52"/>
  <c r="H24"/>
  <c r="J24"/>
  <c r="H58"/>
  <c r="J58"/>
  <c r="H37"/>
  <c r="J37"/>
  <c r="H8"/>
  <c r="J8"/>
  <c r="H18"/>
  <c r="J18"/>
  <c r="H12"/>
  <c r="J12"/>
  <c r="H39"/>
  <c r="J39"/>
  <c r="H43"/>
  <c r="J43"/>
  <c r="H31"/>
  <c r="J31"/>
  <c r="H51"/>
  <c r="J51"/>
  <c r="H21"/>
  <c r="J21"/>
  <c r="H23"/>
  <c r="J23"/>
  <c r="H29"/>
  <c r="J29"/>
  <c r="H6"/>
  <c r="J6"/>
  <c r="H34"/>
  <c r="J34"/>
  <c r="H17"/>
  <c r="J17"/>
  <c r="H7"/>
  <c r="J7"/>
  <c r="H22"/>
  <c r="J22"/>
  <c r="H56"/>
  <c r="J56"/>
  <c r="H14"/>
  <c r="J14"/>
  <c r="H10"/>
  <c r="J10"/>
  <c r="H53"/>
  <c r="J53"/>
  <c r="L69" i="12"/>
  <c r="N69"/>
  <c r="E67" i="14"/>
  <c r="P69" i="12"/>
  <c r="G67" i="14"/>
  <c r="Q69" i="12"/>
  <c r="H67" i="14"/>
  <c r="J67"/>
  <c r="O69" i="12"/>
  <c r="F67" i="14"/>
  <c r="P40" i="12"/>
  <c r="G38" i="14"/>
  <c r="E38"/>
  <c r="P54" i="12"/>
  <c r="G52" i="14"/>
  <c r="E52"/>
  <c r="P51" i="12"/>
  <c r="G49" i="14"/>
  <c r="E49"/>
  <c r="E53"/>
  <c r="P55" i="12"/>
  <c r="G53" i="14"/>
  <c r="E59"/>
  <c r="P61" i="12"/>
  <c r="G59" i="14"/>
  <c r="E16"/>
  <c r="P18" i="12"/>
  <c r="G16" i="14"/>
  <c r="E10"/>
  <c r="P12" i="12"/>
  <c r="G10" i="14"/>
  <c r="E14"/>
  <c r="P16" i="12"/>
  <c r="G14" i="14"/>
  <c r="E35"/>
  <c r="P37" i="12"/>
  <c r="G35" i="14"/>
  <c r="P48" i="12"/>
  <c r="G46" i="14"/>
  <c r="E46"/>
  <c r="E40"/>
  <c r="P42" i="12"/>
  <c r="G40" i="14"/>
  <c r="P17" i="12"/>
  <c r="G15" i="14"/>
  <c r="E15"/>
  <c r="E56"/>
  <c r="P58" i="12"/>
  <c r="G56" i="14"/>
  <c r="P21" i="12"/>
  <c r="G19" i="14"/>
  <c r="E19"/>
  <c r="L64" i="12"/>
  <c r="N64"/>
  <c r="Q64"/>
  <c r="H62" i="14"/>
  <c r="J62"/>
  <c r="E62"/>
  <c r="P64" i="12"/>
  <c r="G62" i="14"/>
  <c r="O64" i="12"/>
  <c r="F62" i="14"/>
  <c r="L68" i="12"/>
  <c r="N68"/>
  <c r="Q68"/>
  <c r="H66" i="14"/>
  <c r="J66"/>
  <c r="E66"/>
  <c r="P68" i="12"/>
  <c r="G66" i="14"/>
  <c r="O68" i="12"/>
  <c r="F66" i="14"/>
  <c r="L66" i="12"/>
  <c r="N66"/>
  <c r="E64" i="14"/>
  <c r="P66" i="12"/>
  <c r="G64" i="14"/>
  <c r="Q66" i="12"/>
  <c r="H64" i="14"/>
  <c r="J64"/>
  <c r="O66" i="12"/>
  <c r="F64" i="14"/>
  <c r="L67" i="12"/>
  <c r="N67"/>
  <c r="Q67"/>
  <c r="H65" i="14"/>
  <c r="J65"/>
  <c r="E65"/>
  <c r="P67" i="12"/>
  <c r="G65" i="14"/>
  <c r="O67" i="12"/>
  <c r="F65" i="14"/>
  <c r="E44"/>
  <c r="P46" i="12"/>
  <c r="G44" i="14"/>
  <c r="E22"/>
  <c r="P24" i="12"/>
  <c r="G22" i="14"/>
  <c r="P13" i="12"/>
  <c r="G11" i="14"/>
  <c r="E11"/>
  <c r="E7"/>
  <c r="P9" i="12"/>
  <c r="G7" i="14"/>
  <c r="E41"/>
  <c r="P43" i="12"/>
  <c r="G41" i="14"/>
  <c r="E17"/>
  <c r="P19" i="12"/>
  <c r="G17" i="14"/>
  <c r="E9"/>
  <c r="P11" i="12"/>
  <c r="G9" i="14"/>
  <c r="P36" i="12"/>
  <c r="G34" i="14"/>
  <c r="E34"/>
  <c r="E55"/>
  <c r="P57" i="12"/>
  <c r="G55" i="14"/>
  <c r="P8" i="12"/>
  <c r="G6" i="14"/>
  <c r="E6"/>
  <c r="E28"/>
  <c r="P30" i="12"/>
  <c r="G28" i="14"/>
  <c r="E29"/>
  <c r="P31" i="12"/>
  <c r="G29" i="14"/>
  <c r="E23"/>
  <c r="P25" i="12"/>
  <c r="G23" i="14"/>
  <c r="P23" i="12"/>
  <c r="G21" i="14"/>
  <c r="E21"/>
  <c r="E51"/>
  <c r="P53" i="12"/>
  <c r="G51" i="14"/>
  <c r="P29" i="12"/>
  <c r="G27" i="14"/>
  <c r="E27"/>
  <c r="E31"/>
  <c r="P33" i="12"/>
  <c r="G31" i="14"/>
  <c r="P27" i="12"/>
  <c r="G25" i="14"/>
  <c r="E25"/>
  <c r="P38" i="12"/>
  <c r="G36" i="14"/>
  <c r="E36"/>
  <c r="P45" i="12"/>
  <c r="G43" i="14"/>
  <c r="E43"/>
  <c r="E45"/>
  <c r="P47" i="12"/>
  <c r="G45" i="14"/>
  <c r="E39"/>
  <c r="P41" i="12"/>
  <c r="G39" i="14"/>
  <c r="P28" i="12"/>
  <c r="G26" i="14"/>
  <c r="E26"/>
  <c r="P34" i="12"/>
  <c r="G32" i="14"/>
  <c r="E32"/>
  <c r="E42"/>
  <c r="P44" i="12"/>
  <c r="G42" i="14"/>
  <c r="P14" i="12"/>
  <c r="G12" i="14"/>
  <c r="E12"/>
  <c r="E47"/>
  <c r="P49" i="12"/>
  <c r="G47" i="14"/>
  <c r="E20"/>
  <c r="P22" i="12"/>
  <c r="G20" i="14"/>
  <c r="P35" i="12"/>
  <c r="G33" i="14"/>
  <c r="E33"/>
  <c r="P50" i="12"/>
  <c r="G48" i="14"/>
  <c r="E48"/>
  <c r="P20" i="12"/>
  <c r="G18" i="14"/>
  <c r="E18"/>
  <c r="L65" i="12"/>
  <c r="N65"/>
  <c r="E63" i="14"/>
  <c r="P65" i="12"/>
  <c r="G63" i="14"/>
  <c r="O65" i="12"/>
  <c r="F63" i="14"/>
  <c r="Q65" i="12"/>
  <c r="H63" i="14"/>
  <c r="J63"/>
  <c r="P56" i="12"/>
  <c r="G54" i="14"/>
  <c r="E54"/>
  <c r="P52" i="12"/>
  <c r="G50" i="14"/>
  <c r="E50"/>
  <c r="E30"/>
  <c r="P32" i="12"/>
  <c r="G30" i="14"/>
  <c r="E13"/>
  <c r="P15" i="12"/>
  <c r="G13" i="14"/>
  <c r="L63" i="12"/>
  <c r="N63"/>
  <c r="E61" i="14"/>
  <c r="P63" i="12"/>
  <c r="G61" i="14"/>
  <c r="Q63" i="12"/>
  <c r="H61" i="14"/>
  <c r="J61"/>
  <c r="O63" i="12"/>
  <c r="F61" i="14"/>
  <c r="P10" i="12"/>
  <c r="G8" i="14"/>
  <c r="E8"/>
  <c r="E37"/>
  <c r="P39" i="12"/>
  <c r="G37" i="14"/>
  <c r="N62" i="12"/>
  <c r="Q62"/>
  <c r="H60" i="14"/>
  <c r="J60"/>
  <c r="E60"/>
  <c r="O62" i="12"/>
  <c r="F60" i="14"/>
  <c r="P62" i="12"/>
  <c r="G60" i="14"/>
  <c r="E57"/>
  <c r="P59" i="12"/>
  <c r="G57" i="14"/>
  <c r="E58"/>
  <c r="P60" i="12"/>
  <c r="G58" i="14"/>
  <c r="P26" i="12"/>
  <c r="G24" i="14"/>
  <c r="E24"/>
  <c r="M67" i="12"/>
  <c r="M63"/>
  <c r="M66"/>
  <c r="M68"/>
  <c r="M65"/>
  <c r="M64"/>
  <c r="M69"/>
  <c r="E5" i="14"/>
  <c r="P7" i="12"/>
  <c r="G5" i="14"/>
  <c r="H5"/>
  <c r="J5"/>
  <c r="AM34" i="17"/>
  <c r="AM18"/>
  <c r="AW34"/>
  <c r="AW18"/>
  <c r="AC34"/>
  <c r="AC18"/>
  <c r="BA34"/>
  <c r="BA18"/>
  <c r="M34"/>
  <c r="M18"/>
  <c r="Y34"/>
  <c r="Y18"/>
  <c r="K18"/>
  <c r="K34"/>
  <c r="W18"/>
  <c r="W34"/>
  <c r="AS34"/>
  <c r="AS18"/>
  <c r="AZ34"/>
  <c r="AZ18"/>
  <c r="X34"/>
  <c r="X18"/>
  <c r="AK34"/>
  <c r="AK18"/>
  <c r="S34"/>
  <c r="S18"/>
  <c r="AQ34"/>
  <c r="AQ18"/>
  <c r="AY34"/>
  <c r="AY18"/>
  <c r="I34"/>
  <c r="I18"/>
  <c r="G34"/>
  <c r="G18"/>
  <c r="O34"/>
  <c r="O18"/>
  <c r="E34"/>
  <c r="E18"/>
  <c r="AA34"/>
  <c r="AA18"/>
  <c r="BE34"/>
  <c r="AB34"/>
  <c r="AB18"/>
  <c r="AU34"/>
  <c r="AU18"/>
  <c r="H34"/>
  <c r="H18"/>
  <c r="R18"/>
  <c r="R34"/>
  <c r="U34"/>
  <c r="U18"/>
  <c r="P34"/>
  <c r="P18"/>
  <c r="Z18"/>
  <c r="Z34"/>
  <c r="AE34"/>
  <c r="AE18"/>
  <c r="AN18"/>
  <c r="AN34"/>
  <c r="AP18"/>
  <c r="AP34"/>
  <c r="AV18"/>
  <c r="AV34"/>
  <c r="F34"/>
  <c r="C34"/>
  <c r="AG34"/>
  <c r="AL34"/>
  <c r="Q34"/>
  <c r="E42" i="18"/>
  <c r="I42"/>
  <c r="F4" i="25"/>
  <c r="G4"/>
  <c r="H4"/>
  <c r="I4"/>
  <c r="AJ18" i="17"/>
  <c r="BE18"/>
  <c r="G19" i="22"/>
  <c r="V34" i="17"/>
  <c r="V18"/>
  <c r="F3" i="21"/>
  <c r="F19" i="22"/>
  <c r="I19"/>
  <c r="F18" i="17"/>
  <c r="Q18"/>
  <c r="AJ34"/>
  <c r="L34"/>
  <c r="L18"/>
  <c r="C18"/>
  <c r="BD34"/>
  <c r="BD18"/>
  <c r="AR18"/>
  <c r="AR34"/>
  <c r="N34"/>
  <c r="N18"/>
  <c r="AD18"/>
  <c r="AH18"/>
  <c r="J34"/>
  <c r="BB18"/>
  <c r="AG18"/>
  <c r="BB34"/>
  <c r="J18"/>
  <c r="AH34"/>
  <c r="AL18"/>
  <c r="AD34"/>
  <c r="C21"/>
  <c r="C20"/>
  <c r="D25"/>
  <c r="D26"/>
  <c r="E25"/>
  <c r="E26"/>
  <c r="F25"/>
  <c r="F26"/>
  <c r="G25"/>
  <c r="G26"/>
  <c r="H25"/>
  <c r="H26"/>
  <c r="I25"/>
  <c r="I26"/>
  <c r="J25"/>
  <c r="J26"/>
  <c r="K25"/>
  <c r="K26"/>
  <c r="L25"/>
  <c r="L26"/>
  <c r="M25"/>
  <c r="M26"/>
  <c r="N25"/>
  <c r="N26"/>
  <c r="O25"/>
  <c r="O26"/>
  <c r="P25"/>
  <c r="P26"/>
  <c r="Q25"/>
  <c r="Q26"/>
  <c r="R25"/>
  <c r="R26"/>
  <c r="S25"/>
  <c r="S26"/>
  <c r="T25"/>
  <c r="T26"/>
  <c r="U25"/>
  <c r="U26"/>
  <c r="V25"/>
  <c r="V26"/>
  <c r="W25"/>
  <c r="W26"/>
  <c r="X25"/>
  <c r="X26"/>
  <c r="Y25"/>
  <c r="Y26"/>
  <c r="Z25"/>
  <c r="Z26"/>
  <c r="AA25"/>
  <c r="AA26"/>
  <c r="AB25"/>
  <c r="AB26"/>
  <c r="AC25"/>
  <c r="AC26"/>
  <c r="AD25"/>
  <c r="AD26"/>
  <c r="AE25"/>
  <c r="AE26"/>
  <c r="AF25"/>
  <c r="AF26"/>
  <c r="AG25"/>
  <c r="AG26"/>
  <c r="AH25"/>
  <c r="AH26"/>
  <c r="AI25"/>
  <c r="AI26"/>
  <c r="AJ25"/>
  <c r="AJ26"/>
  <c r="AK25"/>
  <c r="AK26"/>
  <c r="AL25"/>
  <c r="AL26"/>
  <c r="AM25"/>
  <c r="AM26"/>
  <c r="AN25"/>
  <c r="AN26"/>
  <c r="AO25"/>
  <c r="AO26"/>
  <c r="AP25"/>
  <c r="AP26"/>
  <c r="AQ25"/>
  <c r="AQ26"/>
  <c r="AR25"/>
  <c r="AR26"/>
  <c r="AS25"/>
  <c r="AS26"/>
  <c r="AT25"/>
  <c r="AT26"/>
  <c r="AU25"/>
  <c r="AU26"/>
  <c r="AV25"/>
  <c r="AV26"/>
  <c r="AW25"/>
  <c r="AW26"/>
  <c r="AX25"/>
  <c r="AX26"/>
  <c r="AY25"/>
  <c r="AY26"/>
  <c r="AZ25"/>
  <c r="AZ26"/>
  <c r="BA25"/>
  <c r="BA26"/>
  <c r="BB25"/>
  <c r="BB26"/>
  <c r="BC25"/>
  <c r="BC26"/>
  <c r="BD25"/>
  <c r="BD26"/>
  <c r="BE25"/>
  <c r="BE26"/>
  <c r="C25"/>
  <c r="C26"/>
  <c r="C46"/>
  <c r="C48"/>
  <c r="D46"/>
  <c r="D48"/>
  <c r="X37"/>
  <c r="X39"/>
  <c r="X38"/>
  <c r="D37"/>
  <c r="D39"/>
  <c r="D38"/>
  <c r="AX37"/>
  <c r="AX39"/>
  <c r="AX38"/>
  <c r="AG37"/>
  <c r="AG38"/>
  <c r="AG39"/>
  <c r="Y37"/>
  <c r="Y39"/>
  <c r="Y38"/>
  <c r="AJ37"/>
  <c r="AJ39"/>
  <c r="AJ38"/>
  <c r="AI37"/>
  <c r="AI39"/>
  <c r="AI38"/>
  <c r="AS37"/>
  <c r="AS39"/>
  <c r="AS38"/>
  <c r="E37"/>
  <c r="E39"/>
  <c r="E38"/>
  <c r="Q37"/>
  <c r="Q38"/>
  <c r="Q39"/>
  <c r="AE37"/>
  <c r="AE38"/>
  <c r="AE39"/>
  <c r="AN37"/>
  <c r="AN38"/>
  <c r="AN39"/>
  <c r="BD37"/>
  <c r="BD39"/>
  <c r="BD38"/>
  <c r="V37"/>
  <c r="V38"/>
  <c r="V39"/>
  <c r="M37"/>
  <c r="M38"/>
  <c r="M39"/>
  <c r="AM37"/>
  <c r="AM39"/>
  <c r="AM38"/>
  <c r="P37"/>
  <c r="P38"/>
  <c r="P39"/>
  <c r="AA37"/>
  <c r="AA38"/>
  <c r="AA39"/>
  <c r="AR37"/>
  <c r="AR39"/>
  <c r="AR38"/>
  <c r="AL37"/>
  <c r="AL38"/>
  <c r="AL39"/>
  <c r="AY37"/>
  <c r="AY39"/>
  <c r="AY38"/>
  <c r="L37"/>
  <c r="L39"/>
  <c r="L38"/>
  <c r="C37"/>
  <c r="C38"/>
  <c r="C39"/>
  <c r="AP37"/>
  <c r="AP38"/>
  <c r="AP39"/>
  <c r="U37"/>
  <c r="U38"/>
  <c r="U39"/>
  <c r="AT37"/>
  <c r="AT38"/>
  <c r="AT39"/>
  <c r="AF37"/>
  <c r="AF39"/>
  <c r="AF38"/>
  <c r="AU37"/>
  <c r="AU38"/>
  <c r="AU39"/>
  <c r="S37"/>
  <c r="S38"/>
  <c r="S39"/>
  <c r="AV37"/>
  <c r="AV38"/>
  <c r="AV39"/>
  <c r="AQ37"/>
  <c r="AQ38"/>
  <c r="AQ39"/>
  <c r="K37"/>
  <c r="K39"/>
  <c r="K38"/>
  <c r="BE37"/>
  <c r="BE39"/>
  <c r="BE38"/>
  <c r="AW37"/>
  <c r="AW38"/>
  <c r="AW39"/>
  <c r="AO37"/>
  <c r="AO39"/>
  <c r="AO38"/>
  <c r="T37"/>
  <c r="T39"/>
  <c r="T38"/>
  <c r="BC37"/>
  <c r="BC39"/>
  <c r="BC38"/>
  <c r="F37"/>
  <c r="F38"/>
  <c r="F39"/>
  <c r="H37"/>
  <c r="H38"/>
  <c r="H39"/>
  <c r="G37"/>
  <c r="G39"/>
  <c r="G38"/>
  <c r="AZ37"/>
  <c r="AZ38"/>
  <c r="AZ39"/>
  <c r="AC37"/>
  <c r="AC38"/>
  <c r="AC39"/>
  <c r="BB37"/>
  <c r="BB38"/>
  <c r="BB39"/>
  <c r="O37"/>
  <c r="O38"/>
  <c r="O39"/>
  <c r="AH37"/>
  <c r="AH38"/>
  <c r="AH39"/>
  <c r="R37"/>
  <c r="R39"/>
  <c r="R38"/>
  <c r="Z37"/>
  <c r="Z38"/>
  <c r="Z39"/>
  <c r="N37"/>
  <c r="N39"/>
  <c r="N38"/>
  <c r="W37"/>
  <c r="W39"/>
  <c r="W38"/>
  <c r="J37"/>
  <c r="J39"/>
  <c r="J38"/>
  <c r="AK37"/>
  <c r="AK39"/>
  <c r="AK38"/>
  <c r="AB37"/>
  <c r="AB39"/>
  <c r="AB38"/>
  <c r="AD37"/>
  <c r="AD39"/>
  <c r="AD38"/>
  <c r="I37"/>
  <c r="I39"/>
  <c r="I38"/>
  <c r="BA37"/>
  <c r="BA38"/>
  <c r="BA39"/>
  <c r="C49"/>
  <c r="C50"/>
  <c r="D50"/>
  <c r="D49"/>
  <c r="D47"/>
  <c r="C47"/>
  <c r="C22"/>
  <c r="G2" i="20"/>
  <c r="BM3" i="5"/>
  <c r="BR3"/>
  <c r="BP3"/>
  <c r="BS3"/>
  <c r="BQ3"/>
  <c r="BO3"/>
  <c r="BT3"/>
  <c r="BN3"/>
  <c r="BL3"/>
</calcChain>
</file>

<file path=xl/sharedStrings.xml><?xml version="1.0" encoding="utf-8"?>
<sst xmlns="http://schemas.openxmlformats.org/spreadsheetml/2006/main" count="2610" uniqueCount="1191">
  <si>
    <t>A patchwork regulatory framework of sorts has been emerging in fits and starts, as a Superintendency with still limited understanding of the sector or specialised capacity but with good intentions struggles to adapt regulations, often with uneven results.  In February 2008, the Monetary Board modified the definition of microcredit for productive enterprises to loans to firms with "consolidated debts" of not more than Ps5m (about US$139,275) in the case of universal banks, and to credits of not more than Ps1m (about US$27,855) for other types of regulated financial institutions. However, the strict sliding scale of provisioning requirements that accompanied this resolution has led at least in the short run to a more conservative attitude toward lending by some regulated institutions (the opposite of the original intention) in addition to the more salutary firmer line toward arrears. In addition, the definition would not seem to resolve a systemic problem in the country in which the line between microenterprises and small firms is blurred in practice, as institutions continue to use different definitions. In December 2008, a law for the promotion of micro, small, and medium-sized enterprises was passed and went into effect. It defined microenterprises as those firms, formal or informal, with 1 to 15 employees, assets of up to Ps3m (about US$83,450), and with annual gross earnings not exceeding Ps6m (about US$167,000), indexed to inflation.  The law is not about long-overdue regulation of microfinance operations per se, however, but rather about first- and second-tier public funding through an expansion of the public fund PROMIPYME, the development and coordination of now disparate promotion polices, venture capital, and the creation of a new council for promotion of micro, small, and medium-sized business including the creation of a "one-stop window" (ventanilla unica) for all the registration, tax, and other government paperwork functions facing such firms. Details of PROMIPYME's future operations are still sketchy (it has been a second and first-tier lender for some time), and the law specifies that the new National Council PROMIPYME (set up under the Secretary of Industry and Commerce but with a director holding cabinet rank) must operate consistent with the Superintendency and its guiding law.  However, the potential for conflicts or rivalries with the Superintendency exists, and the Dominican state seems set to increase significantly its role as a first-tier microlender and also provider of second-tier funding with capped interest rates (no more than 6% annually under the new law) on terms that remain poorly specified and could prove problematic if market criteria do not prevail in practice. The Superintendency has a lack of trained personnel in the use of specialised microfinance methodologies, reinforced by the absence of specific national legislation governing microfinance. The Superintendency does not have a microfinance unit or other form of specialised regulatory capacity. (Personal interviews, August 2008, July 2009; Website, PROMIPYME; Microfinance Gateway; Marina Ortiz and Mario Davalos, Sondeo sobre las Microfinanzas en la República Dominicana, CORDAID, 18th November 2008.)</t>
  </si>
  <si>
    <t>There is a small public registry, mostly restricted to information by and for banks, and three private bureaus. Regulated institutions use the private bureaus, but less so the non-regulated. The quality of data relevant to microfinance is mixed, and includes mostly negative information (e.g. default and late payment history). Costa Rica has a Credit Information Index score of 5.0 out of a maximum of 6.0 from the World Bank Doing Business project, which compares with a regional average of 3.0. The public registry covers 14.6% of the adult population (up from 6.1% in 2008), and private bureaus cover 51.6% (down from 52.7%). (World Bank Doing Business 2009; Personal interviews: May 2009.)</t>
  </si>
  <si>
    <t>Both a public registry and two private bureaus exist, with private-bureau usage increasing in particular and public registry coverage expanding. One of the private bureaus caters to NGO MFIs and is widely used by these institutions. The country receives the highest score (6.0 of 6.0) on the Credit Information Index of the World Bank's Doing Business (2009), above the regional average of 3.3; the public registry covers 33.9% of adults (up from 13.3% in 2008, and compared to a regional average of 8.7%), and private bureaus cover 35.0% (down from 35.4%, and as compared to a 33.1% average). (Personal interviews: August 2008, July 2009; World Bank Doing Business, 2009.)</t>
  </si>
  <si>
    <t>Georgia does not have a public credit bureau. A private bureau was recently created, although reporting to the bureau is not mandatory and companies are not obliged to use its information. However, MFIs increasingly use this bureau, despite the fact that the database is still fairly new and the practice of sharing credit information is catching on, according to an informant. Georgia received a score of 6 out of 6.0 on the World Bank's Credit Information Index, compared with a regional average of 4.1. The private credit bureau covers only 4.5% of the adult population, compared with the 17.6% regional average. (World Bank, Doing Business 2009; personal interviews: June-July 2009.)</t>
  </si>
  <si>
    <t>The lack of good credit information has been a major obstacle, and the BoG is currently planning to form a public registry, including MFIs. There is one private credit bureau operating as of June 2009 (XDS Data Ghana Limited), but this is relatively new and banks are as yet unwilling to share data about clients. Banks and financial institutions tend to provide negative information only, as they fear poaching of their low-risk clients by other banks. Ghana has a Credit Information Index score of 0.0 out of a maximum of 6 in World Bank, Doing Business, which compares to a regional average of 1.4. Public and Private registry coverage is 0.0% of the adult population. (Ghana Business News online, June 6th 2009; World Bank, Doing Business 2009; XDS website; personal interviews: June-July 2009.)</t>
  </si>
  <si>
    <t>Regulated lenders choose whether or not to grant credit on the basis of information supplied by the public Credit References Corp (CREDIREF) about credit standing, financial situation, payment capacity and level of indebtedness. Bank, co-operatives and commercial lenders, however, are often weakly integrated into CREDIREF data, which also do not reflect transactions with non-regulated institutions or with finance companies. Banks and retailers have begun voluntarily to report more positive information of late, however. Bureaus are not allowed to publish long-term credit history due to out-dated legal restrictions. Private bureaus have not been very active, though two now exist, and have grown quickly from a very small base. The lack of full reporting requirements and integration of data reflect the absence of regulation of credit bureau operations and their relations with lenders. The World Bank continues to give Guatemala a 5.0 out of a possible 6.0 on its Credit Information Index (compared to a regional average of 3.3 and an OECD average of 4.8). The public registry covers 16.1% of adults (down from 20.7% in 2008, and compared with a regional average of 8.7%), while private bureaus cover 19.7% (up from 13.1%, and compared with a regional average of 33.1%). (De Janvry et al, 2003; personal interviews: August 2008, June 2009; World Bank Doing Business 2009.)</t>
  </si>
  <si>
    <t>The lack of good credit information has been a major obstacle, and the BRH is currently undertaking a project to form a public registry that would cover the formal, as well as informal, sectors of the economy and is seeking input from MFIs. The Levier project has taken also some steps to help remedy this problem through improved technologies for its members, but informants stress that the lack of a uniform, national identity card system has led to a high potential for credit fraud. Haiti has a Credit Information Index score of 2.0 out of a maximum of 6.0 in World Bank Doing Business 2009, compared with a regional average of 3.3. The public registry covers 0.7% of the adult population (compared with a regional average of 7%), and private bureaus are not in use. (Personal interviews: August 2008, May-July 2009.)</t>
  </si>
  <si>
    <t>There is public registry and several private bureaus, which tend to cater to banks, which report both positive and negative information. However, finance companies, OPDs, and NGOs tend not to use them, because they are expensive and have limited relevant information. Institutions other than banks also tend not to report their data to these bureaus. Honduras has a Credit Information Index score of 6.0 out of a maximum of 6.0 in World Bank Doing Business 2009, compared to a regional average of 3.3. The public registry covers 11.3% of the adult population (down from 12.7% in 2008, and compared to a regional average of 8.7%; private bureaus cover 60.5% (up from 58.0%, compared to a 33.1% LAC average). (World Bank Doing Business 009; Personal interviews: August 2008, June-July 2009.)</t>
  </si>
  <si>
    <t>No credit bureau covers microfinance clients, despite the passage in 2005 of the Credit Information Companies (Regulation) Act to facilitate the establishment of credit-information companies. Credit Information Bureau (India) Limited (CIBIL), which is owned by the banks and US specialist companies, Dun &amp; Bradstreet and Trans Union International, collects data on middle and high-income consumer and commercial credit and sells credit reports. World Bank Doing Business 2009 gives India a score of 4.0 out of 6 in depth of credit information, but pegs private bureau coverage at only 10.5% of adults. Despite the low coverage, some well established and sustainable private bureaus have indicated interest in serving the microfinance industry. (Economist Intelligence Unit, Country Finance, July 2008; personal interviews: May-June 2009; Credit Information Bureau (India) Limited; World Bank Doing Business 2009.)</t>
  </si>
  <si>
    <t xml:space="preserve">The central bank manages credit information on 26.1% of the adult population. BPRs with total asset of Rp10bn (US$1m) are required to report to the credit bureau; otherwise, participation is voluntary. The World Bank’s Doing Business project gives Indonesia a score of 4.0 (out of 6.0) in its Credit Information Index, versus an average score for the Asia-Pacific region of 2.0. Despite this relatively high score, informants noted that the public registry does not have the capacity to serve the microfinance industry. (Personal interviews: June 2009; Microfinance Gateway; World Bank Doing Business 2009.) </t>
  </si>
  <si>
    <t>Beginning in 2008 the Millennium Challenge Account oversaw the creation of a credit bureau for MFIs. However, this was suspended owing to the current political turmoil. There is a public registry maintained by the Central Bank that provides borrower information for commercial banks. Madagascar scored a zero for the credit information index for the World Bank’s Doing Business 2009 report, similar to Nigeria, with less than 1% coverage of the adult population via the public bureau. Madagascar’s overall score compares poorly with a 1.4 average for all Sub-Saharan African countries. (Personal interviews: June-July 2009; World Bank Doing Business 2009.)</t>
  </si>
  <si>
    <t>The central bank maintains a registry of all loans, including microfinance loans. This information is available to MFIs for a reasonable fee. In addition, the larger MFIs informally share information on delinquent borrowers among themselves. Mozambique scores 4.0 out of a possible 6 on the Credit Information Index for the World Bank's Doing Business 2009 report. Despite these high marks, sources indicate that the system is ineffective. (Personal interview: June-August 2009; World Bank Doing Business 2009.)</t>
  </si>
  <si>
    <t xml:space="preserve">Although a public registry does not exist, the private registry in operation has both positive and negative credit information. This information is accessible, but it covers just 0.2% of adults and is widely considered ineffective. Moreover, microfinance providers do not have access and do not report to credit bureaus. The World Bank’s Doing Business project gives Nepal a score of 2.0 (out of 6) on its Credit Information Index, compared with an average score for the South Asia region of 2.1. (PlaNet Finance 2008; personal interviews: June 2009; Microfinance Gateway; World Bank Doing Business 2009.) </t>
  </si>
  <si>
    <t>Eight of the ten largest MFIs by outstanding loan portfolio provide audited financial statements as listed on MIX Market. A large majority of all MFIs have undergone an external audit of some kind. All prudentially regulated MFIs must publish their balance sheet and profit/loss statements annually in a national newspaper, as well as post these at branch offices. However, there are hidden fees and costs related to borrowing and it is difficult for some borrowers to understand the total cost of the loans. Kenya scored 0.25 (out of 1) in the World Bank’s Transparency and Consumer Protection Index, which measures the public availability of information published by the Central Bank on fees and charges levied on transactions by commercial banks and the disclosure of interest rates and charges to customers. This is below the regional Africa average of 0.33. (World Bank, Banking the Poor report 2009; personal interviews: May-July 2009; CGAP country profile Kenya; MIX market.)</t>
  </si>
  <si>
    <t>Transparency in the microfinance industry is extremely poor. Of the 13 institutions reporting financial data on the MIX Market website, only three have produced financial statements for 2008. Moreover, of the institutions listed on MIX Market for 2008, none had undergone an external rating. In addition, there is no law requiring interest-rate disclosure to clients and there are hidden costs and fees related to borrowing (application fee, etc). Madagascar scored 0.5 (out of 1) in the World Bank’s Transparency and Consumer Protection Index, which measures the public availability of information published by the Central Bank on fees and charges levied on transactions and the disclosure of interest rates and charges to customers. This is above the regional Africa average of 0.33. (World Bank, Banking the Poor 2009; CGAP CLEAR; MIX Market Interview; personal interviews: June-July 2009.)</t>
  </si>
  <si>
    <t xml:space="preserve">All commercial banks, including the two that provide the majority of microfinance services in Mongolia, are required to submit to an external audit. These banks and some NBFIs that have accepted foreign investment have been externally rated by both specialised microfinance rating agencies (Planet Rating) and general rating agencies (Moody’s). However, the ownership structure of some banks is not transparent, and many NBFIs and SACCOs do not submit to external audits or ratings. (World Bank 2009; personal interviews: June 2009; PlaNet Rating.) </t>
  </si>
  <si>
    <t>The largest MFIs (the big four: ProCredito; NovoBanco; Tchuma; and Socremo) follow best practice, setting a good standard for the industry overall. However, transparency across the remaining institutions in the sector is low. Of the eight MFIs reporting financial data on the MIX Market website, none has provided information or been externally rated as of fiscal year 2008-2009 (July-June. The largest three banks have provided audited financial statements to 2006. Mozambique scored 0.08 (out of 1) in the World Bank’s Transparency and Consumer Protection Index, which measures the public availability of information published by the central bank on fees and charges levied on transactions and the disclosure of interest rates and charges to customers. This is below the regional Africa average of 0.33. (Personal interview: June-August 2009; World Bank Banking the Poor report 2009; MIX Market.)</t>
  </si>
  <si>
    <t xml:space="preserve">Some MCDBs, as well as some FINGOs, have received an external rating, although not all. All the banks and the largest FINGOs have also prepared audited financial statements as required by the central bank. Nepal scored 0.42 (out of 1) in the World Bank’s Transparency and Consumer Protection Index, which measures the public availability of information published by the central bank on fees and charges levied on transactions by commercial banks and the disclosure of interest rates and charges to customers. The average score for South Asia is 0.60. (MIX Market 2008; World Bank Banking the Poor report 2009; personal interviews: June 2009; MIX Market 2008; M-CRIL.) </t>
  </si>
  <si>
    <t xml:space="preserve">All MFBs report audited financial statements as required by the SBP. The SBP also requires MFBs to be rated. These have been performed by specialised international microfinance rating agencies, such as M-CRIL, as well as a local institution, the JCR-VIS Credit Rating Company. Although ratings are not required for MFIs, NGO-MFIs and RSPs, some have done so to ascertain where they stand relative to the competition or to improve access to future commercial funding (currently Pakistani microfinance providers are not allowed to accept foreign currency investment). Pakistan scored 0.67 (out of 1) in the World Bank’s Transparency and Consumer Protection Index, which measures the public availability of information published by the central bank on fees and charges levied on transactions by commercial banks and the disclosure of interest rates and charges to customers. The average score for South Asia is 0.60. (Personal interviews: June 2009; World Bank Banking the Poor report 2009; M-CRIL; MIX Market; World Bank.) </t>
  </si>
  <si>
    <t>Banks and finance companies must undertake external audits and, every six months, external credit ratings. These regulated institutions also must divulge effective interest rates. However, non-supervised institutions (credit unions and NGOs) do not face these requirements; while some undertake audits in order to gain access to external funding, external ratings are very rare among non-supervised institutions. Indeed, none of the MFIs listed on MIX Market 2008 was externally rated (Personal interviews: August 2008, June-July 2009; Economist Intelligence Unit, Country Finance, February 2009; MIX Market.)</t>
  </si>
  <si>
    <t>Five of the seven MFIs listed on the MIX Market website provided audited financial statements. However, reporting and transparency are generally low throughout the industry, and in 2008 none of the listed institutions underwent external audit. This is the result of poor MFI institutional and management capacity. None of the institutions for 2008 listed on MIX Market were externally rated. Rwanda scored 0.0 (out of 1) in the World Bank’s Transparency and Consumer Protection Index, which measures the public availability of information published by the central bank on fees and charges levied on transactions and the disclosure of interest rates and charges to customers. The regional average is 0.33. (World Bank, Banking the Poor report 2009; Katengwa, Rwanda Microfinance Assessment; MIX Market.)</t>
  </si>
  <si>
    <t xml:space="preserve">Credit ratings are now mandatory for all deposit-taking institutions and for institutions using debt instruments to raise funds. The first credit rating agency in Sri Lanka was Fitch Rating Sri Lanka, which is a joint venture between Fitch Ratings Inc, the International Finance Corporation (IFC), the Central Bank and several leading local financial institutions. However, many microfinance providers are small and unregistered and neither can afford such a rating or inclined to share internal information publicly. Audited financial information is available for the large and medium-size microfinance providers, as RDBs and MFIs incorporated under the Companies Act are required by law to submit to annual audits. Donors also encourage and require NGO-MFIs to have their accounts audited. Industry knowledge among auditors is limited, however, so the accuracy of their reports is questionable. Sri Lanka scored 0.83 (out of 1) in the World Bank’s Transparency and Consumer Protection Index, which measures the public availability of information published by the Central Bank on fees and charges levied on transactions and the disclosure of interest rates and charges to customers. The average score for South Asia is 0.60. In general, the institutions calculate interest on declining balances, rather than using the “flat method”, which makes effective interest rates higher than what is reported. (World Bank Banking the Poor report 2009; MIX Market; personal interviews: July-August 2009; World Bank.) </t>
  </si>
  <si>
    <t>The rules on financial reporting set out by the central bank necessitate a high degree of internal discipline. However the disclosure of effective interest rates is not uniformly enforced, with some hidden costs (like transaction fees) not clearly stated in the contracts. According to MIX data, only four out of 24 MFIs received five diamonds for level of information disclosure. As many as six received only one diamond, indicating that transparency standards are inconsistent. (MIX Market, 2008; personal interviews: June-July 2009.)</t>
  </si>
  <si>
    <t>Six of the seven largest MFIs reporting financial statements on the MIX Market provided audited financial statements to 2007 (with three providing them to 2008). Annual external audits of regulated MFIs are required by the BoT and a number of Tanzanian MFIs have undergone an external rating; however only the two of the five-diamond MFIs were rated by external organisations in 2008 (ACCION and International CAMEL), according to MIX Market. The costs of borrowing (interest rates) are unclear to customers with some MFIs including extra fees and charges that are hidden or not disclosed. Tanzania scored a low 0.08 (out of 1) in the World Bank’s Transparency and Consumer Protection Index, which measures the public availability of information published by the central bank on fees and charges levied on transactions by commercial banks and the disclosure of interest rates and charges to customers. This is below the regional Africa average of 0.33 (World Bank, Banking the Poor report 2009; personal interviews: May-June 2009; CGAP Country Profile; MIX Market.)</t>
  </si>
  <si>
    <t>Data from MIX Market for 2007 shows that Bosnia has an HHI index of 1,300. The market is quite saturated, with strong competition between MFIs, banks such as ProCredit (established as a microfinance-specific bank) and other commercial banks that are downscaling. The majority of microfinance activity is concentrated in Bosnia-Herzegovina. Competition and restrictions on loan terms under the new legislation have resulted in a decrease in the number of MFIs from around 50 in 1996 to 13 in 2008. At the same time, the remaining institutions are rated highly; five of BiH MFIs are in the top 40 of Forbes’ “Top 50 Microfinance Institutions.” Geographic coverage is extensive, given the high level of competition and the need to seek out new markets. Of the seven re-registered MFIs, three were MCFs and four were MCCs. There are five strong players based on number of clients, four of which have a customer base of more than 50,000. Partner Microcredit Foundation is the leading player, with more than 60,000 active borrowers, followed closely by Prizma, Mikrofin, EKI and the LOK Microcredit Foundation. Other players with important market presence in portfolio terms include Sunrise and MI-BOSPO, although their client base was closer to 30,000 each. (MIX Market 2007, 2008; MIX Market Report 2008; MIX &amp; CGAP, March 2009; personal interviews: May-June 2009.)</t>
  </si>
  <si>
    <t xml:space="preserve">There is a high degree of competition in the microfinance industry in Cambodia. Although a commercial bank providing microfinance services, ACLEDA, has the largest overall loan portfolio, the number of its microfinance borrowers is similar to that of the second- and third-largest providers, AMRET and Angkor Mikroheranhvatho Kampuchea (AMK). The next three largest MFIs—Thaneakea Phum Cambodia (TPC), PRASAC and Vision Fund—have around half the number of clients of the top three. Three more MFIs are also considered national players—Hattha Kaksekar Limited (HKL), Sathapana and Credit. Although some regulated MFIs operate mainly in urban/peri-urban or rural areas, most are evenly spread from a geographical standpoint. Few MFIs, however, operate in the more remote provinces. Unregulated NGO-MFIs are considerably smaller than their regulated counterparts and are not strong competitors. Portfolio size data from MIX Market in 2007 indicate that Cambodia has a high HHI value of over 4,000; however, estimates based on client numbers would suggest a number closer to 1,600 and it is considered to be one of the more competitive markets in the region (CGAP 2005; MIX Market 2007; International Development Law Organisation 2008; PlaNet Finance 2008; personal interviews: June 2009; Banking With the Poor 2009.) </t>
  </si>
  <si>
    <t>Currently, there is a very low level of market competition, even in Kinshasa (8-9m inhabitants). Only Procredit and Finca (Kinshasa-based) are the significant MFI players, and COOPEC Nyawera (Eastern-based) had a portfolio of size comparable to that of FINCA (at around 20% of market share in 2007). Market data from MIX in 2007 show that the DRC has an HHI score of around 3,000. (MIX Market 2007; personal interviews: June2009.)</t>
  </si>
  <si>
    <t>Cities and population centres have a high level of competition, but rural areas have a much lower level of MFI penetration. Moreover, difficulty in consolidating operations across regions makes it difficult to take advantage of economies of scale, creating regional monopolies and market fragmentation. Indeed, data from MIX Market in 2007 show an HHI score of over 3,500, with the bulk of market share concentrated in the hands of Amhara Credit and Savings Institution (ACSI) and Dedebit Credit and Saving Institution (DECSI). Both had around 40% of total market share in 2007. (MIX Market 2007; personal interview: June-July 2009.)</t>
  </si>
  <si>
    <t>There is healthy competition among banks and MFIs, especially in urban areas. A lot of commercial banks implemented downscaling projects, but this stopped after the 2008 financial crisis, and now demand for microloans exceeds supply. According to MIX data, the biggest NBFIs engaged in microfinance in portfolio terms are JSC Bank Constanta and CREDO LLC, followed by JSC FINCA, JSC Crystal, JSC Alliance Group and JSC Lazika Capital. Important banks in the space include ProCredit and JSC Bank Constanta. According to 2007 MIX Market data, Georgia scores around 2,300 for the HHI index, based on market portfolio. (MIX Market 2005, 2007, 2008; personal interviews: June-July 2009.)</t>
  </si>
  <si>
    <t>Data from MIX Market in 2007 indicate that India's total microfinance portfolio was well distributed across a high number of institutions, with an HHI score of 800. As of March 31st 2008, commercial banks, regional rural banks and co-operative banks have extended loans to 3.6m SHGs and/or financed 518 MFIs for on-lending to SHGs and other small borrowers. NABARD estimates that the 20 or so NBFCs account for 80% of the total microfinance loan portfolio. Two of the experts interviewed say that MFIs are concentrated in the south, where the poor can choose to borrow from a reasonably wide range of institutions. The rest of the country is still underserved or not served at all. Six out of every ten Indians live in the countryside; NABARD estimates that only 27% of these farmer households have access to formal sources of credit. (MIX Market, 2007; Personal interviews: May-June 2009; NABARD.)</t>
  </si>
  <si>
    <t xml:space="preserve">As of November 2008 there were 233 MFIs (up from 168 in 2006) and 272 credit unions. However, MFIs tend to focus on different geographical areas and customer segments and therefore do not always compete against each other directly. There are small MFIs that cater to small groups of 20-100 customers, and some of these go uncounted. The largest MFI by the number of customers is FINCA MicroCredit Company, formerly FINCA The Kyrgyz Republic, with around 64,000 clients in 2007. Its closest rival is Kompanion with around 40,000 active borrowers. In third place is Bai Tushum, with around 10,500 borrowers. Other key players include donor-funded Aiyl Bank (with around 46,200 clients and 26% market share in 2007) and BTA Bank (with only 13,475 clients, but over one-third of the total market portfolio). MIX Market 2007 data show an HHI value of around 2,300. (MIX Market 2007; Central bank, 2006 and 2008; Syminvest online, July 2009.) </t>
  </si>
  <si>
    <t>Data from MIX Market in 2007 show that Nigeria has an HHI score of almost 3,000. However, there has been significant growth in the sector in the last two years, with the community banks transforming into MFBs and many new entrants (including foreign MFIs, such as Accion, BRAC and others) have applied for MFB licences in the market. However, over 75% of MFIs are found in the south and west of Nigeria. The number of institutions in the country is reportedly quite high. (MIX Market, 2007; personal interviews: June-July 2009.)</t>
  </si>
  <si>
    <t xml:space="preserve">MIX Market data from 2007 indicate that Sri Lanka has an HHI score of around 2,000. With an estimated 20,000 providers nationwide, there is usually more than one institution in most districts from which to choose. However, most institutions compete on ease of access to their services, rather than on price, given the role of the RDBs in setting interest rates in the market. The main providers of microfinance services in Sri Lanka are the RDBs, such as Sabaragamuwa Development Bank, Ruhuna Development Bank, Wayamba Development Bank, Sanasa Development Bank and the Samurdhi Development Programme. The Sarvodaya-run NGO SEEDS also takes considerable market share in portfolio terms. Commercial banks, such as Hatton and private companies, such as Lak Jaya and Sewa Finance, operate in urban areas away from the RDBs and NGO-MFIs, and in these urban centres competition is higher than in rural areas. (CGAP 2006; MIX Market 2007;  PlaNet Finance 2008; personal interviews: July-August 2009; Banking With the Poor Network 2009.) </t>
  </si>
  <si>
    <t>The market in Trinidad and Tobago is dominated by one institution, Caribbean Microfinance Trinidad and Tobago Ltd. Furthermore, informants report that the practice of using microfinance is uncommon, as microentrepreneurs do not rely on MFIs to fund business ventures; they use a money-pooling arrangement and borrow from family or friends. (Data not available; Personal interviews: June 2009.)</t>
  </si>
  <si>
    <t>Demand for microcredit loans exceeds supply substantially. There is only very limited competition from banks, which primarily target the SME market (of those engaged in microfinance). Only Maya is listed on MIX Market for 2007. Moreover, Maya and Grameen Microcredit Programme are not in direct competition, since they cover different areas and market segments. Maya is more active around Istanbul and focuses on low-income women, while Grameen covers the south-east Anatolian region, including Diyarbikir. Grameen has around 10,000 customers, while Maya has over 2,000. (Microfinance Centre for CEE &amp; NIS, May 2003; MIX Market 2007; Personal interviews, June-July 2009; Grameen website; Maya website.)</t>
  </si>
  <si>
    <t>Although Uruguay's HHI index improved significantly from 5,663 for 2006 to 2,576 for 2007, this trend has now been reversed. Recent data for 2008 show an HHI index of 3,363. This is owing to the fact that the number of MFIs in Uruguay is small, which reduces the competitive pressure normally created by a more even market split between players. (All figures for HHI calculations were supplied by Sergio Navajas and Paola A. Pedroza of the Inter-American Development Bank, IDB, in July 2009).</t>
  </si>
  <si>
    <t>There has been no change in Venezuela's competitive environment; the high HHI score of over 4,000 continues to reflect the reality that there are few institutions and the market is very small. Bangente holds around 55% market share, and the number of MFIs is small, which reduces the competitive pressure normally created by a more even market split between players. (All figures for HHI calculations were supplied by Sergio Navajas and Paola A. Pedroza of the Inter-American Development Bank, IDB, in July 2009.)</t>
  </si>
  <si>
    <t>MIX Market data from 2007 indicate that Ghana has an HHI score of 2,100. The number of RCBs, CUs and S&amp;Ls would suggest a high level of competition in Ghana; however, in the north, MFI penetration is low, and market share in 2007 was concentrated in the hands of just four institutions: FASL, OISL, ProCredit and SAT. (MIX Market 2007; personal interviews: June-July 2009.)</t>
  </si>
  <si>
    <t>The original legislation that grants the Bank of Tanzania (BoT, the central bank) authority to regulate and supervise banks and financial institutions was recently replaced by the 2006 Banking and Financial Institutions Act. The country’s National Microfinance Policy from 2000 establishes general guidelines for policy-formulation regarding the development of microfinance and its integration into the general financial sector. Microfinance institutions (MFIs) are addressed specifically by the Microfinance Companies and Microcredit Activities Regulations of 2005 that designated MFIs into different tiers, based on size and operations (similar to the Ugandan regulation). Minimum core capital requirements for national, multi-branch microfinance companies (MFCs) are set lower than that of commercial banks, at TSh800m (around US$600,000) and at TSh200m for single-branch MFCs. MFIs are free to set interest rates and there are no significant publicly subsidised credit initiatives that compete with MFIs. (United Republic of Tanzania, 2000; Gallardo and Randhawa 2003; Microfinance Regulation and Supervision Resource Center, 2005; central bank 2006; CGAP Country Profile.)</t>
  </si>
  <si>
    <t xml:space="preserve">Only one commercial bank offers microcredit through a pilot programme. State banks offer only savings and credit services, and similarly co-operatives serving microentrepreneurs offer savings and credit services (to members only). NGO-MFIs, owing to their legal uncertainty, cannot mobilise deposits and cannot legally run large credit programmes. Any institution wishing to offer microinsurance must set up or acquire a separate company. In practice, this is rare, although there is an example of a co-operative acquiring an insurance company. (Personal interviews: June 2009; MIX Market.) </t>
  </si>
  <si>
    <t>This is generally a mono-product industry, with institutions (whether SAs, NGOs or co-operatives) offering micro-credit only; non-regulated co-operatives operating in microfinance offer savings, but only to their members. The sole institution listed in MIX Market (a co-operative) is exceptional, offering a wide range of services, such as leasing, insurance, and fund transfers. (Personal interviews: August 2008, June 2009; MIX Market.)</t>
  </si>
  <si>
    <t xml:space="preserve">Loans are widely available, but other services such as risk-management products (for example, emergency loans, micro-insurance and remittances) are neglected. State-owned banks are more interested in providing cheap credit than in mobilising savings, while the semi-formal MFIs lack the requisite capacity and the trust of the public to mobilise savings in any significant manner. Unregulated MFIs are not allowed to take deposits, nor are they allowed to offer insurance or remittance services. (Personal interviews: June 2009; MIX Market.) </t>
  </si>
  <si>
    <t>The country has 26 private bureaus, plus a public registry, but none is specific to microfinance. Most of the data come from the formal financial system, are often dated, and are consequently of limited utility, although lately some improved information from small-scale consumer lending has become available. There is little or no sharing of information across the regulated and non-regulated sectors through these bureaus. The RADIM network of MFIs, which includes both banks and NGOs, is currently in the process of setting up its own bureau, and negative information is now being shared informally among members. Argentina has a Credit Information Index score of 6.0 out of a maximum of 6.0 on World Bank Doing Business (2009), which compares well with a regional average of 3.3. According to the same source, the public registry covers 31.2% of the adult population (as compared with 25.5% in 2008, and a regional average of 8.7%), and private bureaus still cover 100% (as compared with a 33.1% regional average). (Personal interviews: August 2008, June-July 2009, World Bank, Doing Business, 2009.)</t>
  </si>
  <si>
    <t xml:space="preserve">A credit bureau exists, but it is not used by MFIs, as only three commercial banks report to the bureau. However, the need for access to client information is critical for the development of the microfinance industry, since around one in three households (1m in total) are accessing products offered by MFIs and the risk of multiple loans is high. In October 2008 it was reported that regulators planned to establish the first credit bureau to link Cambodian MFIs with a national credit bureau. This initiative is designed to meet the needs of the country’s MFIs and is set to launch by April 2010. The World Bank’s Doing Business project gives Cambodia a score of zero (out of 6.0) on its Credit Information Index, compared with an average score for the Asia-Pacific region of 2.0. (McLeod 2008; personal interviews: June 2009; World Bank 2009; Microfinance Gateway.) </t>
  </si>
  <si>
    <t xml:space="preserve">The Banque des Etats de L’Afrique Centrale (BEAC) set up a bank credit registry in the 1970s and has plans to create a central balance sheet database and a central payment incident database. However, the efficiency of the credit registry needs to be enhanced and it will be important to ensure that synergies are created between the various databases. MFIs do not have a specialised credit bureau and do not have access to the financial sector’s credit registry. This is a problem, as banks and MFIs increasingly lend to a common clientele pool (for example, SMEs and retail clients). Cameroon has a Credit Information Index score of 2.0 out of a maximum of 6.0 in World Bank, Doing Business 2009. (Personal interviews: June 2009; World Bank, Doing Business 2009.) </t>
  </si>
  <si>
    <t xml:space="preserve">No private registry exists, but there is a public registry managed by the PBOC. Coverage is high: at least two years' of historical credit information, both positive and negative, is available on around 60% of the adult population. Data are available on small loans (loans less than 1% of per capita income). However, the data do not include credit information from retailers, trade creditors or utility companies and it is not guaranteed by law that borrowers can inspect their data. VBs cannot access the credit bureau directly, but can obtain credit reports on individuals upon request. MCCs do not have access to the credit bureau. The World Bank’s Doing Business project gives China a score of 4.0 (out of 6.0) on its Credit Information Index, versus an average of 2.0 in the Asia-Pacific region. (Personal interviews: July 2009; Microfinance Gateway; World Bank Doing Business 2009.) </t>
  </si>
  <si>
    <t>Basic governance and transparency requirements are lacking, and governance of financial institutions is "weak," in the view of the IMF and the World Bank. Non-regulated institutions have uneven standards that reflect inadequate self-regulation and relations with international funders, although some NGOs have reasonably sound practice. Co-operatives have their own governance structure and Le Levier aims to improve governance and operational standards, although the number of members in this federation is small and the Fund has criticised the financial management and regulation of co-operatives/credit unions on a broader level. According to World Bank Doing Business 2009, Haiti has a score of 3.0 out of 10 on the Investor Protection Index, compared with a regional average of 5.0. (World Bank and IMF Haiti: Financial System Stability Assessment, 2008; personal interviews: August 2008, May-July 2009.)</t>
  </si>
  <si>
    <t>An ongoing World Bank project addresses issues concerning the oversight of the corporate sector and effectiveness of insolvency proceedings in Honduras. There are noted deficiencies in the corporate governance framework, among them the lack of a supervisory body. There is some transparency of governance and observance of norms, such as prohibitions on related-party transactions, at banks and finance companies, but observance and recognition of norms is generally weak to non-existent at OPDs and NGOs. According to World Bank Doing Business 2009, Honduras has a score of 3.3 out of 10 on the Investor Protection Index, compared with a regional average of 5.0. (Personal interviews: August 2008, June-July 2009; eStandards Forum; Microfinance Gateway.)</t>
  </si>
  <si>
    <t xml:space="preserve">Economy-wide, Indonesia was given a score of 5.7 on the World Bank’s Investor Protection index, about the same as the average score for the Asia-Pacific region (5.3). Indonesia scored much higher than the regional average in terms of disclosure, but much lower than average for shareholder rights. Within the microfinance industry, governance standards are generally weak. Managers of BPRs are required to be certified through a difficult, one-month government-sponsored programme, in order to ensure they understand the regulatory environment and are accountable. However, course modules are out of date and there is no government follow-up. Many BPRs are local institutions with weak management, lacking internal auditing and supervision. Co-operatives are seen as highly politicised and are used as government funding vehicles. These and other semi-formal providers of microfinance services suffer from limited managerial capacity and lax oversight, both precluding the development of strong governance systems. (OECD 2003; personal interviews: June 2009; World Bank Doing Business 2009.) </t>
  </si>
  <si>
    <t>Governance standards vary a lot across different categories of MFIs. Some are very small (family owned) and actually do not conform to any standards. The bigger ones operate in line with international norms. The World Bank's Investor Protection Index gave Tthe Kyrgyz Republic a high score of 7.7 out of a possible 10, compared with regional average of 5.5. (Personal interviews: June-July 2009; World Bank, Doing Business 2009.)</t>
  </si>
  <si>
    <t>Governance is weak. Corporate boards experience high board turnover and the country shows a general lack of capacity for management and executive positions. In addition, internal controls and accountability standards are generally weak. The World Bank gives the country a score of 5.7 out of a possible 10 for the Investor Protection Index. (CGAP CLEAR 2005; World Bank Doing Business 2009; personal interviews: June-July 2009.)</t>
  </si>
  <si>
    <t>Some MFIs do not want to be transparent, and the ability of the federated governance structure to provide transparency and accountability remains unproven to date. Separate pieces of legislation currently pending before the Congress would in principle tighten regulation of SOFOMEs, in part out of concern that some are being used for money-laundering, and separate the regulation of credit unions and SOFIPOs. NGOs are self-regulating, with varying standards and efforts at benchmarking. Economy-wide and for regulated entities, corporate governance practices remain a concern, although there have been legal improvements since the beginning of the current decade for publicly traded firms: a requirement of 25% independent directors, the ability of a majority of independent directors to form audit committees, some violations now treated as criminal offences and the strengthening of minority rights. Also, a private institute and a voluntary code for corporate governance have been established. Lingering concerns are weak oversight and reporting requirements (firms must report annually on non-compliance, but with no clear penalties), little regulation of non-traded firms, and the prevalence of tight family and personal networks in running business. World Bank Doing Business 2009 gives Mexico 6.0 out of 10 on its Investor Protection Index, compared to a regional average of 5.0 and an OECD average of 5.8. (Economist Intelligence Unit, Country Finance, March 2008, March 2009; personal interviews: August 2008, May 2009; OECD, Latin American Corporate Governance Roundtable; World Bank Doing Business 2009.)</t>
  </si>
  <si>
    <t xml:space="preserve">The two main commercial banks providing microfinance services are generally transparent and have strong governance, often with upper management including foreign nationals. Mongolia was given a score of 6.3 out of 10 on the World Bank’s Investor Protection index, above the average score of 5.3 in the Asia-Pacific region. Corporate disclosure is considered adequate, as is directors’ liability; however, the legal power of shareholders is limited. Yet NBFIs and SACCOs generally lack management experience and do not follow international management practices. In 2006, Mongolia suffered a nationwide crisis among its savings and credit co-operatives that wiped out the savings of thousands of people and led to a social unease and a serious damage to the reputation of NBFIs and SACCOs. Since then, the FRC enacted new licensing procedures for NBFIs and SACCOs and re-licensed over 300 institutions. (OECD 2003; personal interviews: June 2009; World Bank Doing Business 2009.) </t>
  </si>
  <si>
    <t>Governance standards for MFIs are largely non-existent. The largest MFIs receive investment from abroad and therefore follow best practice in terms of accountability and independence, but smaller MFIs are plagued by weak governance and accountability. Additionally, political interference is high in the financial sector and governing bodies are not independent. The country scores a 5.0 out of a possible 10.0 on the World Bank's Investor Protection Index. (World Bank Doing Business 2009; personal interview: June-August 2009.)</t>
  </si>
  <si>
    <t xml:space="preserve">Nepal was given a score of 5.3 on the World Bank’s Investor Protection Index, versus an average score of 5.0 in the South Asia region. Nepal scored very well in terms of shareholder power in lawsuits, but poorly in terms of the legal liability of directors. Economy-wide and in the microfinance industry, governance standards are unevenly followed. The best-run microfinance institutions (MFIs) have strong boards and solid business-planning skills, but lack the capacity to fully audit each branch. The decision by many of the MCDBs to offer an insurance-like product without adequate actuarial analysis and risk management is a large concern. Furthermore, the five regional rural development banks have been only part-privatised and are therefore not independent from the government. (OECD 2003; personal interviews: June 2009; World Bank Doing Business 2009.) </t>
  </si>
  <si>
    <t>While there is no specific legislation or apex body for the regulation and supervision of governance in the microfinance industry, overall corporate governance in Nigeria can be used as a proxy and is, on the whole, extremely weak. The law governing corporate governance structure is the Companies and Allied Matters Act, 1990, which defines the roles of managers and directors in limited liability companies. Implementation and enforcement of these standards are weak. However, those institutions receiving foreign capital, such as MFIs receiving donor funding, tend to follow stronger governance standards. Nigeria receives 5.7 out of a possible 10 on the World Bank's Investor Protection Index (Estandards Forum website; World Bank Doing Business 2009; personal interviews: June-July 2009.)</t>
  </si>
  <si>
    <t xml:space="preserve">Pakistan was given a score of 6.3 on the World Bank’s Investor Protection Index, compared with an average score of 5.0 in the South Asia region. Pakistan scored well in terms of shareholder power in lawsuits and also received higher than regional average scores for disclosure and the legal liability of directors. Owing to the strong licensing and oversight, environment the main microfinance players in Pakistan are in theory subject to strict standards, including audit, credit, and internal control committees. In practice, Pakistan’s MFIs do not always follow these standards and a lack of adequate human resources is the major stumbling block. The number of trained managers and executives is limited, and those resources are being stretched as the sector grows. According to SBP estimates, several hundred senior managers are needed in the sector. (OECD 2003; personal interviews: June 2009; World Bank Doing Business 2009.) </t>
  </si>
  <si>
    <t>Regulations for banks and finance companies require governance procedures, external audits, and prohibitions on white-collar crimes and insider trading. According to World Bank Doing Business 2009, Panama has a score of 4.7 out of 10 on the Investor Protection Index, compared with a regional average of 5.0. Standards are more uneven, and often problematic, at NGOs and credit unions. (Personal interviews: August 2008, June 2009; World Bank Doing Business 2009; Economist Intelligence Unit, Country Finance, February 2009.)</t>
  </si>
  <si>
    <t>Formal norms and legal enforcement are generally considered weaker than those of neighbours, particularly in minority rights. However, Paraguay is party to the voluntary corporate governance norms of the Mercado Común del Sur (Mercosur, the Southern Cone customs union). According to World Bank Doing Business 2009, Paraguay has a score of 5.7 out of 10 on the Investor Protection Index, compared with a regional average of 5.0. (Personal interviews: August 2008, June 2009; World Bank Doing Business 2009.)</t>
  </si>
  <si>
    <t>There is generally a lack of information about borrowers. However, the CBN has issued Credit Bureau Guidelines and a credit report provider, Dunn and Bradstreet, has opened an office in Nigeria. As a whole, private credit bureaus are not yet fully operational, although some are beginning to offer services to MFIs. However, Nigeria scored a zero on the Credit Information Index in World Bank Doing Business 2009, as creditor information is in its infancy and it remains to be seen if this information will be reliable and accessible. (Access to finance in Nigeria 2009; credit reference online; personal interviews: June-July 2009.)</t>
  </si>
  <si>
    <t xml:space="preserve">Both public and private registries exist. Although the public registry carries only negative credit information and does not have historical data beyond two years, the private registry carries more than two years of both negative and positive information. The public registry carries information on 5% of borrowers, while the private registry carries information on 1.5% of individuals and companies. Both registries carry data on small loans of a size less than 1% of GDP per capita. Only MFBs have access to the credit bureaus, otherwise the microfinance industry is not supported. The World Bank’s Doing Business project gives Pakistan a score of 4.0 (out of 6) on its Credit Information Index, versus an average score for the South Asia region of 2.1. (PlaNet Finance 2008; SEEP Network 2008; personal interviews: June 2009; Microfinance Gateway; World Bank Doing Business 2009.) </t>
  </si>
  <si>
    <t>There is no public registry, and one private bureau. It provides accurate, updated information that is both positive and negative, and at low cost, and is used widely by the range of Panamanian MFIs. Panama has a Credit Information Index score of 6.0 out of a maximum of 6 on World Bank Doing Business 2009, which compares with has a regional average of 3.3. Private bureaus cover 43.7% of the adult population (up from 41.6% in 2008, and as compared to a regional average of 33.1%). (Personal interviews: August 2008, June-July 2009; World Bank Doing Business 2009.)</t>
  </si>
  <si>
    <t>For regulated institutions, there are established and fairly reliable credit bureaus, which provide both positive and negative information about borrower transactions and disseminate it reasonably widely. But information about dealings with non-regulated institutions is generally not available. Credit unions have their own, more unevenly effective credit bureau, while NGOs lack such a system. Paraguay has a Credit Information Index score of 6 out of 6 in World Bank Doing Business 2009, which compares with a regional average of 3.3. The public registry covers 9.7% of the adult population (down from 11.0% in 2008, and as compared to a regional average of 8.7%), and private bureaus cover 48.6% (down from 48.7%, and compared with a regional average of 33.1%). (Personal interviews: August 2008, June 2009; World Bank Doing Business 2009.)</t>
  </si>
  <si>
    <t>The SBS collects information from all debtors of the financial system, and consolidates it in its credit bureau. It also sells the information to two private credit bureaus (Infocorp and Certicom), which complement that information with other sources (utilities, tax collection, retail stores, etc) as well as providing some more specialised services, such as data base. Both positive and negative information on prospective clients is reported, and information on all clients of regulated financial institutions is reported, although the timeliness of information is sometimes found wanting (a one- or two-month time lag is common). Peru has a Credit Information Index score of 6.0 out of a maximum of 6 in World Bank, Doing Business 2009, which compares with a regional average of 3.3. The public registry covers 23.7% of the adult population (up from 20.7% in 2008 and compared with a regional average of 8.7%) and private bureaus cover 33.2 (up from 33.0% and compared with a regional average of 33.1%). Regulated institutions use the public credit registry consistently (and in some cases the more costly private bureaus for additional data), but non-regulated institutions vary in their usage. At both types of institutions, there tends to be continued reliance on informal contacts at other institutions and banks to check on prospective clients. NGOs also have their own credit bureau. (De Janvry et al 2003; Ebentreich, 2005; personal interviews: August 2008, June 2009; Microfinance Gateway; World Bank Doing Business 2009.).</t>
  </si>
  <si>
    <t>The Credit Information Bureau of Sri Lanka (CRIB) tracks both positive and negative historical data and loans as low as LKR100,000 (US$880). Most microfinance loans are below this amount and MFIs do not have the right to access the CRIB. The World Bank’s Doing Business project gives Sri Lanka a score of 5.0 (out of 6) on its Credit Information Index, compared with an average score for the South Asia region of 2.1. Some well established and sustainable private bureaus have indicated interest in serving the MFI segment. (CGAP 2006; PlaNet Finance 2008; World Bank Doing Business 2009; MIX Market; personal interviews: July-August 2009.)</t>
  </si>
  <si>
    <t>This remains a major regulatory weakness according to local informants, owing to lack of MFI access and input and quality of information. While Uruguay has a public registry controlled by the banking superintendency, it remains effectively closed to non-regulated institutions, which as a result do not supply it with information. Under regulations approved in 2007, but still not implemented as of June 2009, such institutions would in the future enjoy access, although it is not clear on what exact terms. Therefore, MFIs mostly resort to informal exchanges of information among themselves or in some cases with private bureaus. The quality and breadth of the information available through the public registry and private bureaus is questionable, despite the ostensibly considerable reach of the latter, as many transactions are excluded and only negative information is available. Nevertheless, Uruguay is awarded a score of 1.0 for this model owing to its high Credit Information Index score of 6.0 out of a maximum of 6 on World Bank Doing Business 2009 (the regional average is 3.3). The public registry covers 15.4% of the adult population (compared to 14.1% in 2008, and a regional average of 8.7%), and private bureaus have expanded their coverage from 93.8% to 98% of the population (compared with a regional average of 33.1%). (Doing Business 2009; personal interviews: August 2008, June 2009.)</t>
  </si>
  <si>
    <t>Until the mid-2000s there was a public credit bureau that provided information on late payments, but it no longer operates. Debtors have strong rights and political support that make credit bureaus taboo, and MFIs (whether banks or NGOs) operate in a near total vacuum of credit information beyond what they can gather individually. One private bureau, Acredita, is reportedly operating, but both NGO and bank informants have indicated that there is no bureau information available of any relevance to microfinance in the country. World Bank Doing Business 2009 assigns Venezuela a 0.0 (out of a possible 6) on its Credit Information Index. This compares poorly with a regional average of 3.3 and an OECD average of 4.8. Adult population data are not available through public registries or private bureaus, as data coverage is reported at 0% of the population. (Personal interviews: August 2008, June 2009; World Bank Doing Business 2009.)</t>
  </si>
  <si>
    <t xml:space="preserve">A public registry exists with both positive and negative historical data and covers 13.4% of adults. However, this information is not available to microfinance institutions. The World Bank’s Doing Business project gives Vietnam a score of 4.0 (out of 6) on its Credit Information Index, compared with an average score for the Asia-Pacific region of 2.0. (Personal interviews: June 2009; Microfinance Gateway; World Bank Doing Business 2009.) </t>
  </si>
  <si>
    <t>The competitive environment improved between 2006-2007 owing to the entry of two new banks, which cut the HHI score almost in half; for 2008 the HHI score remained just below 2,600. The level of competition overall is still low, as the market size remains small. (All figures for HHI calculations were supplied by Sergio Navajas and Paola A. Pedroza of the Inter-American Development Bank, IDB, in July 2009.)</t>
  </si>
  <si>
    <t>MIX Market 2007 data show that Armenia's HHI index was over 4,000 that year. Competition among MFIs is limited, but banks have also become more active in microfinance. Agricultural Co-operative Bank of Armenia and Converse Bank used to be aggressive in offering so-called “express loans” (US$500-US$3,000 in value), often used by small businesses. The global financial crisis has reduced the competition and the microfinance industry as a whole remains heavily donor-driven, with very limited funding coming from local sources. Other big players in terms of customers include INECO Bank, FINCA, Aregak (26,000 at the end of 2008), followed by Kamurj, which had 13,000 customers at the end of 2008 and focused mainly on providing microfinance to women. (MIX Market, 2004, 2007, 2008; Vision Microfinance 2008; CGAP 2009; personal interviews: June-July 2009.)</t>
  </si>
  <si>
    <t>Data from MIX Market 2007 indicate that Bangladesh has an HHI score of around 2,300. According to the MRA, more than 1,000 MFIs operate in Bangladesh, but the ten largest, including Grameen, account for 87% of total savings and 81% of total outstanding loans. It estimates that around 30m people are directly benefiting from microcredit programmes, representing 38% of the 79.5m Bangladeshis that the World Bank says live below the poverty line. (MIX Market, 2007; Personal interviews: May 2009; Microcredit Regulatory Authority.)</t>
  </si>
  <si>
    <t>As part of the 2002 microfinance regulation, licensed MFIs are required to send regular financial statements to COBAC, but the majority fails to comply. Very few institutions provide information on portfolio quality, and few are familiar with prudential ratios or operating norms introduced by the microfinance law. Rating is not a widespread practice. Most MFIs raise funds through deposits and feel less need to conduct the external ratings usually required by foreign lenders. (Personal interviews: June 2009.)</t>
  </si>
  <si>
    <t>Regulated institutions must conduct external audits and receive external ratings. Non-regulated institutions (NGOs and credit unions not serving the general public) do not face such requirements, but some practice audits at the urging of international or national networks or members. All eight of the MFIs listed in MIX Market are non-regulated, and only one is rated. The Superintendency requires all institutions engaged in lending to publish effective rates. (MIX Market; Personal interviews: August 2008, May 2009.)</t>
  </si>
  <si>
    <t>For banks and MFIs supported by Multilaterals (Procredit, Finca, etc), conforming to international norms and transparency is not an issue, and these organisations commonly have a transparent policy regarding disclosure of interest rates to clients. However, for local organisations, transparency remains a large problem, and it is uncertain whether outside the capital MFIs regularly disclose the effective costs of borrowing to their clients. The Congolese Bankers Association provides guidelines, and four of the five largest MFIs provided audited financial statements for fiscal year 2007-08 (January-December) on MIX market. However, none of the institutions listed on MIX Market for 2008 had undergone external ratings. (Personal interview June 2009; MIX market.)</t>
  </si>
  <si>
    <t>Ethiopian MFIs undergo regular audits and a few have received external ratings. Transparency in the segment is generally good. AEMFI polices MFIs and promotes transparency among member institutions. Nine of the top ten MFIs by loan portfolio provided audited financial reports to MIX market for 2007-08. (AEMFI website; CGAP; MIX market; personal interview: June-July 2009.)</t>
  </si>
  <si>
    <t>External audits are required of banks and other regulated institutions. The IMF and the World Bank report that auditing practices appear to be sound and even above those of similar countries, but expresses concern that a single local auditing firm handles audits at nearly all large companies and institutions and that auditors appear to prepare financial statements, rather than the firms and institutions themselves. External ratings are not required of regulated institutions, and not common; only one of the three regulated Haitian institutions listed in MIX Market is externally rated. Four of five non-regulated Haitian institutions listed in MIX Market are externally rated and audited, although it is unclear how widely such practices extend to non-regulated MFIs. There is some regulation of interest-rate disclosure for regulated institutions, but none for non-regulated institutions; some follow norms of fair disclosure through self-regulation, however. (World Bank and IMF, Haiti: Financial System Stability Assessment, February 2008; personal interviews: August 2008, May-July 2009.)</t>
  </si>
  <si>
    <t>Regulations require effective interest-rate disclosure by finance companies and banks, but not by OPDs and NGOs. Audits are required of finance companies and banks, while for OPDs audited accounts of previous years (as an NGO) must be presented and those with equity capital exceeding US$600,000 must have an internal audit facility; external audits are not mandatory for OPDS, although some undertake them. External ratings are not widespread, as only a minority of institutions listed in MIX are rated; they sometimes occur at traditional regulated institutions, are infrequent at OPDs, and rare at NGOs. (Personal interviews: August 2008, June-July 2009; MIX market.)</t>
  </si>
  <si>
    <t>The central bank requires microfinance-oriented NBFCs to disclose effective interest rates and be externally audited. In 2008 the majority of MFIs were rated by M-CRIL and Crisil, the top two rating firms. An external rating is mandatory for initial public offerings (IPOs), issuance of commercial paper and public-debt flotation. MFIs not regulated by the central bank do not routinely disclose effective interest rates, nor do they have their accounts externally audited or receive external ratings. NABARD gives banks grants of up to Rs100,000 to pay credit rating agencies to rate MFIs that the banks are considering as intermediaries between them and low-income borrowers. Of the 115 Indian MFIs listed in MIX Market, 16% were awarded the top rating of five diamonds for level of information disclosure, with another 13% awarded four diamonds. (Economist Intelligence Unit, Country Finance, July 2008; personal interviews: May-June 2009; MIX Market; NABARD.)</t>
  </si>
  <si>
    <t xml:space="preserve">Auditing is required for banks with assets above Rp10bn (US$1m). External ratings are rare because BPRs are not allowed to accept foreign investment and therefore see little need for ratings (mainly foreign investors demand ratings). Recently, domestic commercial banks providing wholesale funds to BPRs have looked to ratings, and specialised microfinance rating agencies, such as M-CRIL and MICRA are active in the country. Indonesia scored 0.67 (out of 1) in the World Bank’s Transparency and Consumer Protection Index, which measures the public availability of information published by the central bank on fees and charges levied on transactions and the disclosure of interest rates and charges to customers. The average score for East Asia is 0.50. (Personal interviews: June 2009; World Bank, Doing Business 2009; World Bank Banking the Poor report 2009; MIX Market; MICRA; M-CRIL.) </t>
  </si>
  <si>
    <t>IAS have been used in El Salvador's fully dollarised economy since 2001. IFRS, which are permitted, but not required for listed companies, were phased in over 2000-06. In some cases, IFRS are dated, however, and enforcement is often weak and overstretched. The Code of Commerce requires all joint stock companies (JSCs, including all listed companies, banks, and most unlisted companies with more than 20 shareholders) to prepare audited annual financial statements in accordance with accounting standards of the Consejo de Vigilancia de la Profesión de Contaduría Publica y de Autoría (CVPCA, the local professional association). These statements are essentially IAS compliant. Savings and credit companies and regulated co-operatives practice standards that approach IAS. Standards at non-regulated co-operatives are moving in that direction. NGOs must formally account for their capital using established accounting standards and submit an annual audited balance sheet to the interior ministry’s registry, and auditors are obligated to inform the organisation's general assembly and the El Salvador Court of Accounts if there is an irregularity in the administration of capital. Nevertheless, accounting standards are often weak in practice at NGO MFIs. (World Bank, Report on Observance of Standards and Codes, June 2005; personal interviews: August 2008, May-June 2009; Inter-American Accounting Association; IAS PLUS/Deloitte; Microfinance Gateway.)</t>
  </si>
  <si>
    <t>The legislation regulating companies is the Commercial Code 1960, in which there are no laws requiring compliance with any type of international accounting standards. There are some laws that require compliance with generally accepted accounting principles, but these are unclear. There is a roadmap to the development of national accounting standards under the Office of the Federal Auditor General. (World Bank, ROSC 2007; personal interview: June-July 2009.)</t>
  </si>
  <si>
    <t xml:space="preserve"> The IMF and World Bank term the overall quality of financial reporting "poor” and finds that the 1980 accounting law is confusing and incompletely implemented. While banks' accounting statements claim to be compliant with IFRS (which in principle are required for all listed and unlisted firms), this is not in fact true, according to the Fund. The goal of medium-term compliance with IFRS on the part of banks will be difficult to achieve. The same report is critical of the management and regulation of credit unions. Accounting practices and standards at non-regulated institutions have, however, improved, benefiting from international technical assistance to train auditing firms in microfinance accounting. (World Bank and IMF Haiti: Financial System Stability Assessment, February 2008; personal interviews: August 2008, May-July 2009; Deloitte/IAS Plus.)</t>
  </si>
  <si>
    <t>The 2007 Accounting and Auditing Law mandates the application of International Financial Reporting Standards (IFRSs) beginning January 1st 2008, with earlier adoption permitted. The Law also establishes the Accounting and Auditing Standards Technical Board as the body responsible for the adoption of international standards. While noting these signs of progress toward international accounting and auditing standards in a 2007 report, the World Bank also found the January 2008 deadline for application of IFRSs (which are now required for all listed and unlisted companies) "too ambitious" and noted that IFRS were not intended to be applicable to small and medium enterprises. In 2009 a regulation was passed to set reporting and provisioning standards for microfinance specifically, with the intention of increasing internal audits and promoting harmonisation with international standards. At present, finance companies and banks appear to follow consistent standards in line with IAS for finance companies and banks. Accounting practices at OPDS are flawed, but improving. At NGOs, standards are inconsistent, and still deficient. (World Bank, Honduras: Report on the Observance of Standards and Codes - Accounting and Auditing, May 2007; personal interviews, August 2008, June-July 2009; Deloitte/IAS plus.)</t>
  </si>
  <si>
    <t xml:space="preserve">Banks and NBFCs in India must comply with Indian Accounting Standards. These differ from US GAAP, IAS and IFRS in several areas, including consolidation of financial statements, accounting for taxes on income, and intangible assets. India plans to adopt IFRS as Indian Financial Reporting Standards will be effective by 2011. Accounting practices at MFIs not regulated by the central bank are uneven. Those registered as societies, trusts and similar legal entities are expected to prepare annual accounts, but overworked and understaffed registrars do not always monitor submissions or examine the reports. Organisations that borrow from banks, accept donations and/or have equity infusions tend to prepare detailed accounts; some follow international accounting standards at the behest of foreign donors and investors. The Micro Financial Sector (Development and Regulation) Bill introduced in Parliament in 2007, which is likely to be passed in 2009, would increase reporting and accounting standards among NGO and upgraded MFIs. (Microcapital online, 2009; personal interviews: May-June 2009; Deloitte/IAS Plus.)   </t>
  </si>
  <si>
    <t xml:space="preserve">The main accounting body in Indonesia is the Ikatan Akuntan Indonesia (IAI, the Indonesian Institute of Accountants). Overall, Indonesia’s accounting standards are an amalgam of three accounting systems: IAS, US GAAP and Uniform Accounting Plans. They represent an attempt to combine the best aspects of each system, while maintaining the overarching IAS Framework. Gaps exist, although the Asian Development Bank (ADB) concludes that the overall framework is acceptable. The need of MFIs for wholesale funding from large commercial banks leads BPRs to adopt accounting standards to a certain extent. On the other hand, laws prevent them from accepting investment from international funds, which reduces the incentive to follow international standards. (Asian Development Bank 2003; PlaNet Finance 2008; personal interviews: June 2009; Deloitte/IAS PLUS.) </t>
  </si>
  <si>
    <t xml:space="preserve">Since 2002 IAS were supposed to be accepted as the financial reporting standards of the Kyrgyz Republic. However, according to the OECD, capacity constraints and lack of qualified staff means these standards are often not followed. To try to address this, the government developed a PFM Action Plan in 2006. It is also developing an integrated financial management system, which will be operational by 2009. According to the existing legislation of the Kyrgyz Republic, the following entities shall be subject to mandatory external audit: banks and other organisations licensed by the central bank; insurance organizations; and open JSCs (including investment funds, specialised investment funds, and investment companies). Other legal entities may voluntarily undergo annual audit inspection. According to sources, one part of the industry follows IFRS and the other follows only basic national standards. (World Bank, Report on the Observance of Standards and Codes, 2008; personal interviews: June-July 2009.) </t>
  </si>
  <si>
    <t>The finance ministry introduced new accounting and auditing regulations in 2005 that are aligned with IFRS. Regulated MFIs are required to comply, yet gaps are common. (Deloitte/IAS Plus; personal interviews: June-July 2009.)</t>
  </si>
  <si>
    <t xml:space="preserve">Accounting standards in Mozambique are relatively low. The government has as yet failed to define accounting standards and there is no regulatory body that could enforce them. There are a number of donor-funded initiatives to move toward the adoption of IFRS, but this has not been completed. IFRS is only required for some companies in Mozambique. (personal interview: June-August 2009; Deloitte/IAS Plus.) </t>
  </si>
  <si>
    <t>Economy-wide, IAS were adopted in 2003, applicable to financial statements issued from July 2004 onward. IFRS are required for all listed and unlisted corporate entities. After it intervened in and closed several banks in the early 2000s under international pressure, the Superintendency has pushed domestic banks to adopt US best-practice accounting rules for asset valuation when making loans and to adhere to tighter rules for loan-provisioning. It has also strengthened its on- and off-site inspection regime. Although neither NGOs nor credit unions are subject to these standards, self-regulation through voluntary associations such as the Asociación Nicaragüense de Instituciones de Microfinanzas Nicaraguan (ASOMIF, Association of Microfinance Institutions) and in response to international donors has made for some progress toward international norms; differences from IAS remain on issues such as provisioning. (Economist Intelligence Unit, Country Finance, February 2009; personal interviews: August 2008, June 2009; IAS PLUS/Deloitte; Inter-American Accounting Association.)</t>
  </si>
  <si>
    <t xml:space="preserve">IFRS for banks and financial institutions has not yet been fully implemented. The SECP and ICAP have agreed to ensure full compliance with IFRS for listed companies for the year ending December 31st 2009. In the microfinance sector, those institutions regulated by the SBP must produce audited financial statements and be rated regularly, encouraging professionalisation and the adoption of IAS. (PlaNet Finance 2008; personal interviews: June 2009; SEEP Network 2008; Deloitte/IAS PLUS.) </t>
  </si>
  <si>
    <t xml:space="preserve">Commercial banks are required by law to disclose their effective interest rates to their customers. When banks ignore the official interest-rate cap this is not the case, as they do not necessarily provide full rate disclosure. Commercial banks must undergo an external audit every year and must change their external auditor every five years. They do not regularly submit to external ratings. However, the major microcredit providers are state financial institutions that, owing to their political nature, are not required to be transparent or issue audited statements. Thailand scored 0.50 (out of 1) in the World Bank’s Transparency and Consumer Protection Index, which measures the public availability of information published by the central bank on fees and charges levied on transactions by commercial banks and the disclosure of interest rates and charges to customers. The average score for East Asia is 0.50. (Asian Development Bank 2003; MIX Market 2008; personal interviews: June 2009; World Bank, Banking the Poor report 2009.) </t>
  </si>
  <si>
    <t>The larger MDIs in Uganda such as FINCA, FAULU, CML and Centenary have provided audited financial statements on the voluntary reporting MIX Market website. Additionally, UAMFI encourages members to undergo independent audits and in 2008 two of the institutions were externally rated by MicroRate. MFIs publish rates freely and interest-rates information is readily available to consumers. NGOs such as BRAC provide clients with information about interest rates up front. Uganda scored 0.58 (out of 1) in the World Bank’s Transparency and Consumer Protection Index, which measures the public availability of information published by the central bank on fees and charges levied on transactions by commercial banks and the disclosure of interest rates and charges to customers. This is above the regional Africa average of 0.33 (World Bank, Banking the Poor report 2009; IDLO paper; MIX Market.)</t>
  </si>
  <si>
    <t xml:space="preserve">The larger semi-formal MFIs report audited financial statements and have been rated by specialised microfinance rating agencies, such as Planet Rating. Vietnam scored 0.83 (out of 1) in the World Bank’s Transparency and Consumer Protection Index, which measures the public availability of information published by the central bank on fees and charges levied on transactions and the disclosure of interest rates and charges to customers. The average score for East Asia is 0.50. (Personal interviews: June 2009; World Bank 2009; PlaNet Rating; World Bank, Banking the Poor report 2009.) </t>
  </si>
  <si>
    <t>Microfinance is mostly a "mono-product" industry focusing on credit, although funds transfers are available. Most MFIs listed in MIX Market for 2008 do not offer services beyond microcredit. (Personal interviews: August 2008, June-July 2009.)</t>
  </si>
  <si>
    <t>Financial products are mainly limited to deposits, loans and, increasingly, money transfers and salary payments. Most loans and deposits are short-term, with little flexibility on conditions. Under the microfinance law, MFIs can provide foreign currency or traveller’s cheques, rent safe deposits, buy goods on behalf of clients and provide leasing products. (Personal interviews: June 2009.)</t>
  </si>
  <si>
    <t xml:space="preserve">Officially, microfinance is defined as microcredit and does not include savings, insurance, transfers, or payments. In practice, the services that the major microfinance players in China can offer are heavily dependent on their legal status. MCCs and MFOs can only offer credit. VBs, on the other hand, can mobilize savings and are legally allowed to offer other services, such as remittances. The China Insurance Regulatory Commission has begun pilot-testing microinsurance in nine provinces in western China. Regulatory barriers challenge mobile banking, but a project initiated by Ericsson and the United Nations Development Programme (UNDP) is exploring mobile solutions for rural residents. (PlaNet Finance 2008; personal interviews: July 2009; MIX Market.) </t>
  </si>
  <si>
    <t>Banks involved in microfinance (whose numbers are increasing) have begun to innovate beyond savings and credit, in part helped by the fact that the Superintendency from 2008 has allowed them to operate non-branch corresponsales, providing financial services (such as bill-payment and fund-transfer) through drugstores or other entities. NGO MFIs are mostly restricted to lending, but in some cases offer a restricted type of "voluntary savings" and/or insurance. NBFIs tend to offer insurance or voluntary savings. (Personal interviews: May 2009; Microfinance Gateway; MIX Market.)</t>
  </si>
  <si>
    <t>Most MFIs focus on savings and loans. The larger banks plan to enter into mobile/SMS banking and debit cards (ProCredit, Finca, Advans); however, this is predicated on favourable regulations for mobile banking. The insurance market is highly regulated and banks have not ventured into this arena. (Personal interview: June 2009; MIX market.)</t>
  </si>
  <si>
    <t>The range of services is generally limited to credit and savings, although some of the larger banks provide agricultural finance products and money transfer services. Micro-insurance products are typically an extension of credit services. Savings products are constrained by restrictions on loan sizes. (MIX Market; personal interview: June-July 2009.)</t>
  </si>
  <si>
    <t xml:space="preserve">Most Rural and Community Banks offer savings and credit services only. However, owing to competition, urban MFIs are offering increasingly innovative products, including insurance, agricultural financing and funds transfer services. (MIX Market; personal interviews: June-July 2009.) </t>
  </si>
  <si>
    <t xml:space="preserve">Regulated institutions tend to offer a modest range of services: voluntary savings, in some cases funds transfers, and, in only a few cases, insurance. Around half the non-regulated institutions in MIX Market 2008 offer only microcredit. (Personal interviews: August 2008, June-July 2009; MIX Market.) </t>
  </si>
  <si>
    <t>All the 115 Indian MFIs listed in MIX Market offer loans. Banks offer deposits, but NBFC MFIs generally do not. In addition, the larger MFIs in terms of number of active borrowers, such as NBFCs, SKS, Spandana and Bandhan, offer insurance products. NGOs are also beginning to offer insurance services, small-value deposits and fund transfers in partnership with mainstream financial services providers through a banking correspondent model. For insurance providers, utilising the grassroots reach of NGO-MFIs is a cost-effective way of serving the low-income market. Other emerging financial services by MFIs include fund-transfer services, such as Spandana’s partnership with Western Union on remittances. (Personal interviews: May-June 2009; MIX Market.)</t>
  </si>
  <si>
    <t>Given the relative undeveloped state of microfinance, it should not come as a surprise that most institutions provide mainly savings and credit products. Insurance products are heavily regulated and therefore are generally not offered by MFIs, although insurance on loans is occasionally available. However, in urban areas institutions are beginning to offer more sophisticated products with regard to agricultural financing and other needs. (personal interviews: June-July 2009.)</t>
  </si>
  <si>
    <t xml:space="preserve">Microfinance is mostly a mono-product industry. All MFIs offer only micro-credit. In 2004 the law was amended to allow microlending for housing and providing domestic water and electricity. Solidarity loans remain the predominant microcredit service, followed by individual loans and housing loans. No MFI currently offers savings (prohibited by law), transfer or insurance services, although several MFIs partner with state agencies and mainstream financial institutions to distribute some of their insurance and training services targeted to the poor. MFIs also assist their clients with their micro-enterprise projects (Zakoura 2007 annual report; Al amana 2008 annual report; Personal interviews May-June 2009; Loi 18-97; Loi 58-03; FBP website; MIX Market.)
</t>
  </si>
  <si>
    <t>Given that the microfinance industry is still young in Mozambique, most institutions offer saving and credit products only. The MFIs registered as commercial banks can offer a full range of services including foreign currency exchange and money transfer services, however many do not offer these sophisticated products. Some MFIs have begun to offer agricultural loans, but microinsurance and remittances are not widely offered. (Personal interview: June-August 2009, MIX Market.)</t>
  </si>
  <si>
    <t xml:space="preserve">MFBs can intermediate deposits, although many non-bank MFBs mobilise deposits from their credit clients only. In practice, with the exception of one or two institutions, the range of products offered by MFBs remains underdeveloped, with the focus still mainly on group-based lending and insurance (mostly credit-life). Most service providers offer similar products (in terms of loan size and terms of the loan), although some have experimented with different market segments through individual loans. According to a report by the Pakistan Microfinance Network, by end-March 2008 there were 1.4m micro-insurance policy holders in the country. (PlaNet Finance 2008; SEEP Network 2008; personal interviews: June 2009; World Bank, Banking With the Poor Network 2009; MIX Market.) </t>
  </si>
  <si>
    <t>MFIs offer a modest range of services. Remittances/fund transfers are growing, insurance is beginning to grow, and banks offer savings, while other types of institutions can and typically do offer only voluntary savings (to those who have other types of transactions with the institution). (Personal interviews: August 2008, June 2009-July; MIX Market.)</t>
  </si>
  <si>
    <t xml:space="preserve">Although many institutions have broad product portfolios, these essentially consist of loan products differing more in name and tenure than in type. RDBs are permitted to mobilise deposits and many NGO-MFIs providers impose compulsory savings as a pre-condition to obtaining a loan (NGO-MFIs previously offered voluntary savings, but this was barred by the government last year). Micro-insurance (health, agricultural, emergency) and other similar products are offered by few institutions. By law, institutions must register with the Insurance Board of Sri Lanka if they wish to conduct business in this area. The high capital requirements for offering insurance virtually exclude all traditional MFIs from obtaining licences for insurance activities. (CGAP 2006; PlaNet Finance 2008; Banking With the Poor Network 2009; MIX Market; personal interviews: July-August 2009.) </t>
  </si>
  <si>
    <t>MFIs are able to offer an extensive range of services, but obtaining a licence for deposit-taking activities (saving instruments) is not straightforward. According to the law, the following services are permitted: taking deposits from individuals and legal entities; extending microcredits (secured and unsecured); carrying out cash operations; issuing guarantees; issuing payment cards; performing settlement operations; providing consultancy and information services to its clients and prospective clients; and financial leasing. MFIs are most active in providing a wide range of products for farmers in microleasing, microinsurance and remittances. (Microfinance Centre for CEE &amp; NIS, May 2003; World Bank Group, 2004; Asian Development Bank, 2005; IMON, 2006; MicroCapital, March 2006; MIX Market 2007, 2008; Aga Khan Development Network, 2008; personal interviews, June-July 2009.)</t>
  </si>
  <si>
    <t>The range of services offered by Tanzanian MFIs is modest. Most NGOs and regulated MFIs provide credit and savings products. A few key players, such as FINCA and Mbinga CB, offer leasing and insurance products, but these are the exception. (MIX Market.)</t>
  </si>
  <si>
    <t>There are solid, improving governance standards for regulated institutions. Pursuant to the revised Corporate Law of 2001 (which also covers financial institutions), the Comissão de Valores Mobiliários (CVM, Securities and Exchange Commission) published voluntary governance standards in 2002. Corporate entities (Sociedades Anônimas, SAs) are requested, but not required, to report on their non-compliance, which is not punishable. Many have begun to do so. The World Bank's Doing Business (2009) scores Brazil 5.3 out of a maximum 10.0 on its investor protection index (unchanged from a year earlier), compared to a regional average of 5.0 and an OECD average of 5.8. The Central Bank's supervision of, and transparency of, co-operative governance were strengthened by an April 2009 law, which expanded the terms of their fiscal commissions and gave a fiscal oversight role to co-operative federations for the first time, including calling member assemblies when problems arise, among other measures. The Central Bank has also recently developed a voluntary code for co-operatives. However, at non-financially regulated institutions, such as NGOs and OSCIPs, there are minimal or no standards of transparency and accountability, and practices tend to be weak, or at best uneven. (Personal interviews: July-August 2008, May 2009; Economist Intelligence Unit, Country Commerce, September 2008; World Bank, Doing Business, 2009.)</t>
  </si>
  <si>
    <t xml:space="preserve">The role of international NGOs in creating many of the leading MFIs and the desire to attract foreign investors has led to relatively strong governance standards, with representatives of international institutions sitting on most boards and internal audit and control functions well developed. Economy-wide, significant, if imperfect, standards for corporate governance exist in law and practice. Cambodia was given a score of 5.3 on the World Bank’s Investor Protection Index, the same as the average score for the Asia-Pacific region. Cambodia scored much higher than the regional average in terms of the liability of directors, but much lower than the average for shareholder suits, mainly because of an inability to obtain information or question plaintiffs and witnesses during trial. For MFIs, the role of international NGOs in creating many of the leading MFIs and the desire to attract foreign investors has led to relatively strong governance standards, with representatives of international institutions sitting on most boards and internal audit and control functions well developed. (OECD 2003; personal interviews: June 2009; World Bank Doing Business 2009.) </t>
  </si>
  <si>
    <t>Corporate governance remains weak, despite the clear rules and sanctions set out in the microfinance law. MFIs are required by law to maintain internal supervision through their governing bodies and procedures, external auditing and regular reporting to COBAC, but many do not yet conform. Two years ago, two MFIs and two banks were sanctioned by the Commission and put into temporary administration for governance failure. Cameroon scores 4.3 out of a maximum of 10.0 on the World Bank's Investor Protection index. (COBAC annual report 2007; World Bank, Doing Business 2009; personal interviews: June 2009.)</t>
  </si>
  <si>
    <t xml:space="preserve">Governance standards for MCCs vary dramatically because they are subject to province-specific rules, regulations and practices. Since VB licensing and regulation is centralised in the CBRC, there are implied uniform governance standards, although the role of state-owned financial institutions in establishing some VBs means that in practice standards and accountability vary. The fact that microfinance providers do not report their accounts publicly also throws doubt on how closely governance standards are followed.
China was given a score of 5.0 on the World Bank’s Investor Protection index, around the average score for the Asia-Pacific region (5.3). China scored much higher than the regional average in terms of disclosure, but much lower than average for director’s liability. Shareholder rights are also limited. (OECD 2003; World Bank Doing Business 2009; personal interviews: July 2009.) 
</t>
  </si>
  <si>
    <t>There is a distinction between foreign-funded banks and local entities. IFC-funded MFIs (Advans, ProCredit) and other multilateral clients follow best practice in terms of corporate governance. The DRC does not have guidelines for good corporate governance on the bookkeeping and accountability; independence and transparency for governing bodies is very weak. The World Bank gives the country a score of 3.3 out of a possible 10 for the Investor Protection Index. (World Bank Doing Business 2009; personal interview: June 2009.)</t>
  </si>
  <si>
    <t>The financial services industry in Ethiopia suffers from very poor governance on the whole, including weak internal controls and risk management practice. Board members are unaware of responsibilities and there are limited means for shareholders to redress grievances. There is a general lack of awareness of responsibility among board members and rights of shareholders. The World Bank gives Ethiopia a score of 4.3 out of a possible 10 in its Investor Protection Index, and there is an overall lack of transparency and accountability in the MFI segment. (AEMFI, Corporate Governance of the Deposit-Taking Microfinance Institutions (MFIs) in Ethiopia, 2008; World Bank, Doing Business 2009; personal interview: June-July 2009.)</t>
  </si>
  <si>
    <t>Georgia received a score of 6.0 out of 10 in the World Bank Investor Protection Index, compared to a regional average of 5.5. Interviewees claim that Georgian authorities are very keen to attract foreign direct investment (FDI) and in principle try to adhere to international best practice, but there are powerful business lobbies that are able to circumvent the rules. This is less true in the financial sector, which is well regulated, according to informants. (Personal interviews: June-July 2009; World Bank, Doing Business 2009.)</t>
  </si>
  <si>
    <t>For Tier-1 institutions, such as co-operative associations and NGOs, CSBF oversight is restricted to awarding licences, ensuring consistency in operations and a basic governance structure. Co-operative societies are well-established throughout the country and provide the majority of microcredit services to clients. Despite their prevalence, weak governance and fragmentation limit growth. (CGAP Paper 2005; Andrianasolo Paper, 2008.)</t>
  </si>
  <si>
    <t>MFIs classified under categories C and D according to the 2004 decree are recognised as “microfinance operators” and are subject to monitoring only by the BoM. This includes savings and loan organisations and deposits intermediaries. Minimum paid-up capital for savings and loan associations is MT150,000. These institutions are free to set interest rates and are relatively unburdened by the monitoring of the Central Bank. (Personal interview: June-August 2009, Microfinance in Mozambique, 2005.)</t>
  </si>
  <si>
    <t>A significant number of unregulated institutions provide microcredit services, including a number of NGOs and savings and loan co-operatives. The two largest NGOs have a combined outstanding loan portfolio of over US$30m and these are licensed by the Registrar of NGOs, which under the Companies and Allied Act must register these institutions. The CBN has reported that these NGOs have applied for an MFB licence, yet no major NGOs offering microfinance services have transformed. Other informal finance channels active in the country include susu collectors that provide clients with savings vehicles, sometimes at negative interest rates (e.g. collectors keep a commission). However, there are no reliable data on the penetration these informal services. (Access to finance in Nigeria, 2009; personal interviews: June-July 2009 .)</t>
  </si>
  <si>
    <t xml:space="preserve">Microfinance providers can choose to set up non-bank MFIs. MFIs are registered either with the Securities and Exchange Commission of Pakistan (SECP) under the Companies Ordinance 1984 or as non-profit associations or under the Societies Registration Act 1860, or as trusts under the Trusts Act 1882, which fall under provincial governments jurisdiction. Given their non-bank status and the fact that they are not regulated by the SBP, they cannot intermediate deposits, although some do accept compulsory savings from their clients. Some also offer basic insurance services (mostly credit-life). There are five MFIs operating in Pakistan and collectively they reach 386,000 active borrowers. There are no interest-rate restrictions and no loan-size caps for non-bank MFIs. Alongside these unregulated MFIs, multi-dimensional NGO RSPs also provide microfinance services along with other interventions, such as education, healthcare or infrastructure development. Similar to specialised MFIs, NGO-MFIs and RSPs can be registered with the SECP under the Companies Ordinance 1984 as non-profit associations or under the Societies Registration Act 1860, or as trusts under the Trusts Act 1882. Similar to MFI-only NGOs, these organisations cannot intermediate deposits. Some also offer basic insurance services (mostly credit-life). All but one of these institutions are very small, owing to their mandate (group lending to the very poor) and a lack of funding other than donor money. An exception to this is the National Rural Support Programme (NRSP), which receives funding from the government. (CGAP 2007; Microfinance Gateway; SEEP Network 2008; PlaNet Finance 2008; personal interviews: June 2009; central bank; Pakistan Microfinance Network; World Bank Banking With the Poor.) </t>
  </si>
  <si>
    <t>Non-governmental organisations (NGOs) may operate in microfinance, and they are tax-exempt. However, not many microfinance NGOs exist, and they have difficulties in raising capital. Given a general proliferation of non-profit entities, the government has tightened registration requirements, which are administered by a special office of the Ministry of Economics and Finance (the Justice Ministry accords NGOs juridical status). Only one Panamanian NGO is listed in MIX Market. (Personal interviews:August 2008, June-July 2009.)</t>
  </si>
  <si>
    <t>All NGOs in Sri Lanka must register with the National Secretariat for NGOs, which is under the aegis of the Ministry of Health, Highways &amp; Social Services, but are otherwise unregulated. Once registered, NGO microfinance providers may freely offer microfinance, and supervision is lax. Although there are some NGOs that focus exclusively on microfinance and do so on a professional basis, such as BRAC Sri Lanka, many NGOs offering microfinance services are outgrowths of larger multi-faceted development programmes that included thrift and co-operative societies at the village level. For example, Sarvodaya Economic Enterprise Development Services (SEEDS) was established in 1986 as an offshoot of the Sarvodaya Society, which started the Sarvodaya movement in Sri Lanka during the mid-1950s. It is now the country’s third-largest microfinance service provider, with 18% market share, working with 1,800 local village societies. While the fact that NGOs are not regulated means they are free from interest-rate restrictions, the government is generally opposed to their operations owing to the fact that they operate very independently and because some NGOs have been critical of the government or may be perceived to have links with rebel groups. They are further weakened by politically motivated debt relief—often ahead of elections—which seriously jeopardises the repayment culture among its clientele. Finally, since co-operatives are not required to obtain a banking licence to collect savings, owing to the Co-operative Act, it places them at an advantage relative to NGOs, which are required to obtain a banking licence if they wish to mobilise deposits. (CGAP 2006; International Development Law Organization 2007; PlaNet Finance 2008; Banking With the Poor Network 2009; personal interviews: July-August 2009; Microfinance Gateway.)</t>
  </si>
  <si>
    <t>Specialised expertise and methodologies for microfinance have generally been lacking and four government entities compete with each other in shaping the industry in practice: the Central Bank/Financial Superintendency; the Ministry of Finance; the Inspectorate General of Justice of the Ministry of Justice (which regulates the formation and organisation—but not the finances—of SAs and NGOs), and Ministry of Social Development. This creates considerable confusion, and the social development ministry is tied to an approach involving heavy subsidies. However, the December 2008 Central Bank Circular, despite some limitations (see Formation and operation of regulated/supervised specialised MFIs, above), represents a significant first step that suggests a belated recognition of the importance of promoting microfinance. (Curat et al, 2007; personal interviews: August 2008, June-July 2009.)</t>
  </si>
  <si>
    <t>Grameen Bank is not formally regulated. Instead, it is supervised by its board of directors, which is guided by the provisions of the Grameen Bank Ordinance. Grameen owes its unique position as a specialised bank in part to its founder, Muhammad Yunus, who was awarded the Nobel Peace Prize in 2006 for his work in microfinance. NGOs are now regulated by the MRA. The MRA is new and is still building up specialised capacity, and is preparing a comprehensive policy framework under which NGO-MFIs will be supervised and regulated. The central bank regulates the country’s banks and financial institutions seeking to offer microfinance; in general, the central bank's approach to financial-sector regulation has been to try to persuade commercial institutions to lower interest rates for lending activities; any efforts to address microfinance provision by commercial banks specifically have been limited. (Personal interviews: May 2009.)</t>
  </si>
  <si>
    <t>The NBC’s Bank Supervision Department was organized into separate divisions with four different responsibilities: (i) off-site inspection of commercial banks, (ii) on-site inspection of commercial banks, (iii) administration, regulation, research and licensing of commercial banks, and (iv) supervision and licensing of specialized banks and MFIs. Nevertheless, informants feel that the capacity of the NBC is limited due to lack of staff trained on banking supervision in general, and microfinance in particular. Technical assistance from the ADB and IMF is working to improve the bank’s oversight capabilities. (CGAP 2005; International Development Law Organization 2008; Banking With the Poor 2009; PlaNet Finance 2008; personal interviews, June 2009)</t>
  </si>
  <si>
    <t xml:space="preserve">Under the microfinance law, COBAC is the exclusive supervisor of MFIs. It is assisted by special national divisions at the Ministry of Finance in charge of supervising microfinance. Actual implementation of the 2002 law, which provides for effective reporting and supervision of MFIs, began in 2007/08 on paper. However, the MFI segment remains irregular and non-harmonised. MFIs are expected to comply with this new framework and regularly report to COBAC in an electronic format by June 2010, using a newly developed software application. The number of MFIs (over 700) and the decentralised character of their operations makes it hard for COBAC to implement its supervisory mission. Furthermore, understaffing and lacking capacity makes it difficult to keep up with the rapid pace of development of new institutions and the variety of business models. (Personal interviews: June 2009; Recueil des textes réglementaires relatifs à l’activité de microfinance dans la Communauté Economique et Monétaire de l’Afrique Centrale; Cobac annual report 2007.)
</t>
  </si>
  <si>
    <t xml:space="preserve">Relatively strict financial disclosure requirements exist for publicly traded companies (by law, banks and financial institutions must be listed). As open corporations, such corporate entities must disclose non-confidential information at the request of shareholders representing at least 3% of capital. Board composition and decision-making are only partly regulated. The Comisión Nacional Supervisora de Empresas y Valores (CONASEV, the securities regulator), set up a voluntary code in 2002 and in 2005, for the first time, companies were required to report on their compliance with it. In September 2007 CONASEV reported that during 2006,187 out of 213 firms who committed to release these reports annually had done so, and all but two of the firms submitting compliance information had also incorporated the norms into their charters as annexes, as they had agreed to do under the code. The 2006 OECD Progress Report for Peru noted that improvements were recorded in 2005 and 2006 that addressed previous shortcomings in the areas of shareholder rights, market for corporate control, integrity of financial reporting, and the development of guidelines for the selection of board members. According to World Bank Doing Business 2009, Peru has a score of 6.7 out of 10 on the Investor Protection Index, compared with a regional average of 5.0. Among non-regulated institutions, there is wide awareness of the importance of observing good standards as a result of self-regulation through voluntary NGO associations. CMACs face particular governance challenges, given the extent to which they remain tied to local governments. (World Bank Report on Observance of Standards and Codes, June 2004; Economist Intelligence Unit, Country Commerce, June 2008; personal interviews: August 2008, June 2009; World Bank Doing Business 2009.) </t>
  </si>
  <si>
    <t>The MCP has adopted performance standards and a standard chart of accounts, but neither has been implemented to date. The MCP also plans to establish a private rating agency for all microfinance providers. Governance standards developed by the NCC include regular audits by an independent external auditor, specifically one recognised by the central bank, for banks; accredited by the CDA, for co-operatives; and certified by the Philippine Institute of Certified Public Accountants (PICPA) for NGOs. The audited statements should be readily accessible to interested parties. In addition, publicly listed companies and those with registered securities must comply with the SEC Code of Corporate Governance. More work needs to be done; World Bank Doing Business 2009 awards the Philippines a score of only 2.0 on Extent of Director Liability Index, and 4.0 on its Strength of Investor Protection index. (Economist Intelligence Unit, Country Finance, November 2008; World Bank, Doing Business 2009; personal interviews: June 2009; National Credit Council.)</t>
  </si>
  <si>
    <t>Parmec’s implementing decree has detailed provisions about governance requirements. MFIs are required by law to maintain internal supervision through governing bodies and procedures, external audits and regular reports to supervisory authorities, but many do not conform. Relatively strong governance standards are applied in the four major networks and the commercial MFI. However, governance practices standards are less likely to be implemented by non-mutual MFIs, whose ownership structure by nature leads to conflicts of interest and lower levels of professionalism. There are also cases of improper exercise of powers and serious governance deficiencies in small MFIs. The new law aims at enforcing governance and consolidating small and poorly managed MFIs. Senegal scores 3.0 out of a maximum of 10 on the Investor Protection Index in World Bank Doing Business 2009. (World Bank Doing Business 2009; Decret de réglementation; personal interviews: June-July 2009.)</t>
  </si>
  <si>
    <t xml:space="preserve">Sri Lanka was given a score of 5.3 out of 10 on the World Bank’s Investor Protection Index, compared with an average score of 5.0 in the South Asia region. Nevertheless, weak corporate governance is common in the microfinance segment. Over-interference in government-controlled entities can result in political appointments to MFI boards, and arbitrary interference in management is not uncommon. The organisational culture in most NGO-MFIs leans toward a social welfare mentality, rather than a commercial approach, as strong founder members or family groups often dominate the institution and have complete decision-making power. In many instances, resistance from these groups presents a barrier to introducing transparent governance procedures. (OECD 2003; CGAP 2006; Banking With the Poor Network 2009; ppersonal interviews: July-August 2009; World Bank Doing Business2009.) </t>
  </si>
  <si>
    <t>Tanzania has adopted standards for corporate governance that are compatible with international standards, but given capacity and human resource constraints, compliance is variable. For regulated MFIs, there are a number of accountability and transparency measures in place, which are followed by the larger institutions. The country scores 5.0 out of a possible 10 In the World Bank's Investor Protection index (eStandards Forum, April 2009; principles of Corporate Governance, Tanzania; World Bank Doing Business 2009.)</t>
  </si>
  <si>
    <t xml:space="preserve">In response to the 1997 financial crisis, new rules and regulations on governance were promulgated in Thailand. Surveys show that Thai shareholders are active investors, most major companies have one or more independent directors, and enforcement and disclosure rules have been strengthened. Thailand was given a score of 7.7 on the World Bank’s Investor Protection Index, well above the average score of 5.3 in the Asia-Pacific region. Commercial banks wishing to provide microfinance services, either within their mainline operations or through a subsidiary finance company, must adhere to the governance standards applicable to banks that have been set by the BOT. BOT rules released in 2002 require at least one-fourth of bank board members, or a minimum of 3 board members, be independent, and require banks to set up an audit committee with at least three independent directors. However, this does not necessarily apply to the state-owned organisations. (Asian Development Bank 2003; OECD 2003; personal interviews: June 2009; World Bank Doing Business 2009.) </t>
  </si>
  <si>
    <t xml:space="preserve">Vietnam was given a score of 2.6 on the World Bank’s Investor Protection Index, well below the average score of 5.3 in the Asia-Pacific region. In the microfinance industry, state-owned banks are well established, and as such are controlled by the prime minister’s office and do not seek to meet any particular corporate governance standards. Semi-formal providers lack basic policies and procedures to monitor their activities or manage arrears and implement robust information systems. The lack of a standardised accounting and reporting system contributes to low monitoring, evaluation and disclosure. Only the two largest MFIs (Capital and Fund for Employment of the Poor, CEP, and Tao Yeu May (TYM) have been rated (by Planet Rating). Finally, the fact that leading semi-formal MFIs all operate in partnership with socio-political mass organisations tied to the Communist Party means most MFIs are dominated by staff from these mass organisations, few of whom are trained to be economists, accountants or financial analysts. Staff recruited from mass organisations are often part-time personnel and there is high turnover, which also slows the process of professionalisation. (OECD 2003; PlaNet Finance 2008; personal interviews: June 2009; World Bank Doing Business 2009.) </t>
  </si>
  <si>
    <t>There is no requirement to publish effective rates, and the practice is not common. Regular external audits and ratings are not required of non-regulated institutions--only one of the Argentinean MFIs listed in MIX Market for 2008 is currently rated. The expense of undergoing external ratings, given the absence of specialised international microfinance rating agencies in Argentina and the fees charged by mainstream international ratings agencies to conduct evaluations there, is a large obstacle for small organisations. External audits have begun to appear with more frequency, however, owing to pressure from international funders and self-regulation through MFI networks such as RADIM. (Curat et al, 2007; personal interviews: August 2008, June-July 2009; MIX Market.)</t>
  </si>
  <si>
    <t xml:space="preserve">The NCB collects and publicises the interest rates of all financial institutions on a quarterly basis. However, there are no laws requiring MFIs to be transparent when offering services to their clients. Almost all of the MFIs have been rated by specialised microfinance rating agencies, such as M-CRIL, Planet Rating and Microfinanza, and submit to an external audit, as these are required by international investors. Cambodia scored just 0.08 (out of 1) in the World Bank’s Transparency and Consumer Protection Index, which measures the public availability of information published by the central bank on fees and charges levied on transactions and the disclosure of interest rates and charges to customers. The average score for East Asia is 0.50. (Personal interviews: June 2009; World Bank 2009; World Bank Banking the Poor report 2009; PlaNet Rating; M-CRIL.) </t>
  </si>
  <si>
    <t>Legal and regulatory risk arises largely from the slow and complicated judicial process. Although the system is considered to be generally fair, delays reflect the ease with which legal injunctions can be obtained. The risk that a contract will not be enforced is low, but it may be subject to interpretation by state legislatures. The national business lobby has won tax and regulatory concessions to favour their interests over those of foreign companies, but discrimination against foreign companies has been reduced over the past decade. There is little risk of expropriation of assets, and protection of private property is fair. Some improvements introduced in a 2004 judicial reform, which included the introduction of a case law system to make Supreme Court decisions binding, will speed up final resolution of contested cases. However, the regulatory framework in sectors such as energy, telecoms and pharmaceuticals is still unclear and there are concerns about political interference in regulatory bodies. (Economist Intelligence Unit, Risk Briefing, July 2009.)</t>
  </si>
  <si>
    <t>There is a large gap between the standards followed by regulated (non-microfinance) institutions and MFIs, which are non-regulated and have laxer norms and practices. The Buenos Aires Stock Exchange requires listed domestic companies to follow Argentine GAAP standards, which are similar to IAS. The Federación Argentina de Consejos Profesionales de Ciencias Económicas (the professional accounting body) has developed a plan for implementing IFRSs for all companies whose securities are publicly traded. The plan calls for adoption of IFRSs in annual financial statements of public companies by the first quarter of 2011. Starting in the first quarter of 2010, companies would have to disclose the expected impact of IFRSs on their operating results and equity. IFRS are currently not permitted for listed or unlisted firms, and it appears that this will continue to be the case after 2011 for the latter. Both MFIs and NGOs lack a unified accounting methodology. The only accounting rules binding NGOs are those of the tax authorities; practices vary and are often inconsistent, although the MFI network, RADIM, seeks to disseminate best practice and is still working toward a unified accounting methodology for its members. (Deloitte/IASPLUS; Economist Intelligence Unit, Country Commerce, July 2008; personal interviews: August 2008, June-July 2009.)</t>
  </si>
  <si>
    <t xml:space="preserve">MFIs report to the Central Bank on a quarterly and a monthly basis. According to the Law on Accounting adopted in 2002 both listed and unlisted companies must report in a manner compliant with the IFRS and the International Standards Guide, and informants report that MFIs generally comply with this requirement. However, Credit Organisations are not required to follow IFRS until 2010, before which compliance is voluntary. (Accounting Law of 2002; Personal Interviews: June-July 2009; Deloitte/IAS Plus.) </t>
  </si>
  <si>
    <t xml:space="preserve">The legal framework for accounting and auditing in the finance sector is made up of the regional chart of accounts issued by OHADA and other national laws and regulations. According to the IMF, the level of information provided by the OHADA chart is considerably lower than that expected by international investors and lenders, and a move to IFRS is recommended. The lack of comprehensive professional standards for auditors and the lack of quality control for accounting and auditing practice give rise to serious concerns about the reliability of audits. Cameroon banks started introducing a Basel II standardised approach in 2007 and according to COBAC, they are expected to be fully compliant by 2015. 
Plan comptable des établissements de microfinance (PCEMF), a new accounting framework project for MFIs that was launched 4 years ago, is not yet finalised. MFIs are expected to comply with this new framework by June 2010. Most of the networks or co-operative federations are weak and cannot consolidate (or even aggregate) financial statements or adequately supervise their MFI members. (Cemac Survey 2007; COBAC annual report 2007; personal interviews: June 2009; World Bank and IMF, Cameroon Financial System Stability Assessment update 2009.)
</t>
  </si>
  <si>
    <t>A 2004 World Bank report on Dominican accounting standards found problems with financial groups (that is, lack of consolidated financial statements); a need to strengthen the accounting profession; some slowness in adopting the latest international standards; and weak enforcement. Closures of several banks in recent years have raised concerns about the quality of financial reporting. In the economy as a whole, the Institute of Certified Public Accountants adopted IFRS in 1999. IFRS are required for both listed and non-listed firms economy-wide. Accounting and auditing standards for the financial sector, however, are distinct, and set by the Superintendency, and although they have been strengthened in recent years, enforcement and compliance are reported to be inconsistent. Standards at NGOs are uneven, although there is some self-regulation. (World Bank Report on Observance of Standards and Codes, December 2004; Deloitte/IAS PLUS; Interamerican Accounting Association, 2007; personal interviews: August 2008, July 2009; Latin American Venture Capital Association, 2009 Scorecard: The Private Equity and Venture Capital Environment in Latin America.)</t>
  </si>
  <si>
    <t>The DRC has a de facto two-tiered system for accounting standards; MFIs funded by international donors are required to follow IFRS. However, NGOs and other domestic institutions are not subject to these requirements. Accounting standards in general are very poor. (personal interview: June 2009.)</t>
  </si>
  <si>
    <t>There are no specialised juridical vehicles for microfinance in Argentina, although the SA form has been used for that purpose by both downscaling banks and NGOs. Although credit co-operatives were created on paper as a means to channel credit to micro, small and medium-sized enterprises (and one that could also capture deposits), regulations have still not been implemented. The vehicle appears unattractive to NGOs and SAs seeking to upgrade because of its co-op (closed) status, geographical restrictions and lack of any customised risk management and credit evaluation system for low-income clients. (Curat et al, 2007; personal interviews: August 2008, June-July 2009.)</t>
  </si>
  <si>
    <t>A number of greenfield MFIs have been incorporated in the past two years, mostly funded by multilateral donors. FINCA is currently transforming from a non-governmental organisation (NGO) to a deposit-taking non-bank financial institution (NBFI). Registration for new institutions is a big issue; for example, it took over nine months to get approval for the newly formed bank, Advans DRC (with significant help from the IFC). (CGAP diagnostic report 2007; personal interview: June 2009.)</t>
  </si>
  <si>
    <t>Ethiopia’s largest MFI, Amhara Savings and Credit Institution, transformed into a regulated MFI over a decade ago. Any NGO wishing to provide financial services is required to transform into a regulated MFI–in particular, international NGOs providing microcredit as a supplementary service—although not all have done so. Savings and Credit Co-operative societies are regulated under the Co-operative Societies Proclamation and are free to set interest rates and do not have minimum capital requirements. (CGAP Microfinance Regulation Centre, Country Profile; personal interview: June-July 2009.)</t>
  </si>
  <si>
    <t>Institutions are regulated based on BoG designations. RCBs, savings and loans companies (S&amp;Ls) and NBFIs that fall under the NBFI law are free to set up microfinance operations and are regulated by the BoG. However, a new BoG policy greatly increases minimum capital requirements for new NBFIs, and current minimum capital requirements for transformation into an S&amp;L Company are also high. RCBs are required to submit weekly liquidity reports, monthly balance sheets, quarterly financial statements and annual audited financial statements. Reporting requirements for S&amp;Ls are similar to RCBs. In practice, credit unions are regulated and supervised by the CUA, in conjunction with the Department of Co-operatives. Interest rate caps only apply to credit unions that receive wholesale funds from the CUA. (CGAP 2005 paper; CGAP profiles; central bank 2008; personal interviews: June-July 2009.)</t>
  </si>
  <si>
    <t>There is no specific vehicle for microfinance, which is not specifically regulated as a distinct financial operation. Banks can establish microfinance departments or separate microfinance entities. Upgrading of non-regulated institutions is possible in theory, but the lack of a legal framework governing such upgrading or the activity of microfinance is a significant obstacle. The lack of a legal framework governing issues such as how to handle defaults or arrears (non-regulated institutions cannot take defaulting borrowers to court) has discouraged non-governmental organisations (NGOs) looking to upgrade from doing so in the past. FONKOZE (Haiti’s “Alternative Bank for the Organized Poor” operates both a foundation and an NBFI, but its efforts to upgrade to a bank have been continuously stymied. (Personal interviews: August 2008, May-July 2009.)</t>
  </si>
  <si>
    <t>OPDs were created in 2001 as a specialised, regulated microfinance vehicle, particularly intended for upscaling non-governmental organisations (NGOs). However, they are not as attractive as, for example, finance companies, as they cannot capture savings from the general public and face interest-rate caps. Not as many have been created as was initially hoped. Upgrading requirements in terms of risk management, provisioning, and other procedures can make it difficult to make the transition from NGO to OPD or OPD to finance company or bank. Those institutions that have already transformed in Honduras reported as a main obstacle the costs associated with the process (total costs are US$242,000-US$340,000). (Personal interviews: August 2008, June-July 2009; Microfinance Gateway.)</t>
  </si>
  <si>
    <t xml:space="preserve">Several non-governmental organisations (NGOs) that initially focused on SHG formation and other capacity-building programmes for the poor have transformed themselves into NBFCs following a relatively straightforward regulatory process. However NGOs seeking to contribute funds to NBFCs indirectly through equity investments using Mutual Benefit Trusts (MBTs). Key industry players include Grameen Koota, Bandhan and ESAF. Among other requirements, NBFCs must have Rs20m (US$500,000) in capital and maintain a 12-15% capital-adequacy ratio to collect public-term deposits. Because MFI NBFCs typically struggle to meet the regulatory requirements for deposit-taking (and stick to lending as a result), these upgraded institutions must depend on bank borrowings and guarantees, commercial equity infusions, and retained earnings to sustain and expand their operations. Foreign equity investment is permitted, but cannot be greater than 50% of the NBFC’s total equity. Like all commercial entities, regulated NBFCs are subject to income taxes. The government has listed microfinance as an activity for which foreign direct investment (FDI) may be contributed through automatic approval (investments can precede formal government approval and documents are submitted after contributions are given) to encourage foreign fund inflows to the sector. (Bhattacharjee, B.R. and Staschen, Steven, 2004; Eschborn: GTZ, 2004; Microfinance Gateway Highlights 2008; personal interviews: May-June 2009; Economist Intelligence Unit, Country Finance, July 2009.) </t>
  </si>
  <si>
    <t>Greenfield MFIs, commercial banks and other specialised MFIs are regulated by the 2005 law. Each institution is classified by the existing framework depending on institutional capacity and minimum capital requirements. Laws governing transforming NGOs and co-operatives are also specified in the 2005 law; although the law and its instructions on transformation were passed in 2005, licences were not granted until late 2008 owing to the Central Bank’s lack of capacity. As a result, there are only two fully licensed banks currently providing microfinance services and these are regulated under the commercial banking law. (AccessBank Madagascar and Bank of Africa). (CGAP Paper 2005; Andrianasolo Paper, 2008; personal interviews: June-July 2009.)</t>
  </si>
  <si>
    <t>The microfinance portfolios of a number of international non-governmental organisations (NGOs: CARE, World Vision and MEDA) were merged to create a new MFI, the Banco de Oportunidade de Moçambique (BOM) in 2005. MFIs wishing to register as commercial banks can do so, provided they meet the minimum capital requirement of MT70m. Three MFIs transformed into commercial banks since 2004: NovoBanco, SOCREMO and BOM. Capital requirements are reasonable and follow a tiered system, and these institutions are free to set interest rates. Subsidised public programmes do, however, distort the market. (Personal interview: June-August 2009, Microfinance in Mozambique, 2005.)</t>
  </si>
  <si>
    <t>Because the Microfinance Framework falls within the purview of the existing banking regulations, RCBs (some of which have not yet met the stricter requirements and are still under an extended grace period before transforming into MFBs) are all regulated by the CBN. Many of these (over 600) former RCBs have officially applied for the MFB licence. Many of the newly consolidated and capitalised commercial banks have entered the microfinance industry, either by spinning off a division devoted specifically to microfinance (that falls under the new framework), or by operating as a fully registered commercial bank offering microfinance services. Community banks are also now required to increase their capital from the previous N5m naira (US$40,000) to N20m (US$161,000). As of July 2008 175 MFIs had applied for an MFB licence, including some of the larger non-governmental organisations (NGOs) providing microfinance services, but not including former RCBs. A number of international MFIs are now entering the Nigerian market because of these new regulations that have brought clarity and formalisation to the market. However, it remains to be seen how the new regulations will affect the operations of these newly formed MFBs. (Access to finance in Nigeria, 2009; personal interviews: June-July 2009 .)</t>
  </si>
  <si>
    <t>Accounting standards for regulated institutions in Panama's dollarised economy and offshore financial centre follow IAS. IFRS are required for all listed and unlisted companies, including banks and finance companies, as regulated financial institutions; this law is being challenged in the courts, however. Credit unions must submit financial reports to the Autonomous Panamanian Co-operatives Institute (APCI); NGOs, while lacking financial supervision, must adhere generally to IAS in order to receive second-tier or international funding. (Personal interviews: August 2008, June-July 2009; Deloitte/IAS Plus.)</t>
  </si>
  <si>
    <t>Although IAS are in principle obligatory for banks and finance companies as regulated corporate entities, IFRSs are optional for both listed and unlisted companies. A 2006 World Bank study found that "Paraguay has an incomplete, fragmented, and loosely enforced statutory framework for accounting and auditing”. It also found that "within the supervised sector, the quality of standard-setting, compliance with standards, and supervision of compliance is uneven and the regulation in place is fragmented”. Most corporate entities resort to tax reporting norms (which are more lax), rather than IAS. However, larger regulated institutions often have standards that approximate IAS. As non-regulated institutions, credit unions and NGOs are not bound by any standards or enforcement mechanisms and have uneven practices. (World Bank Report on the Observance of Standards and Codes in Paraguay, June 2006; personal interviews: August 2008, June 2009; Deloitte/IASPLUS; Inter-American Accounting Association.)</t>
  </si>
  <si>
    <t xml:space="preserve">Accounting professionals are fairly active in Sri Lanka, whose model is based on the British system. The source of accounting standards is the Institute of Chartered Accountants of Sri Lanka (ICASL), and standards are constantly updated to reflect current international accounting and audit standards adopted by the International Accounting Standards Board (IASB). Owing to an insufficient enforcement mechanism, however, problems with the quality and reliability of financial statements still exist. Although the strongest commercial organisations and NGOs follow international standards and have their statements audited by reputed accounting firms so as to better attract funding, other, smaller organisations are less able to comply. Moreover, regulations intended to place more rigorous standards on the microfinance industry have been postponed owing to doubts about institutional ability to comply and regulatory capacity to monitor such compliance. (PlaNet Finance 2008; personal interviews: July-August 2009; Deloitte IAS PLUS.) </t>
  </si>
  <si>
    <t xml:space="preserve">A majority of institutions follow international accounting standards to attract foreign funds. The law also states that accounting standards for MFIs are mandated by the central bank in accordance with international standards. Nevertheless, the World Bank gave Tajikistan a score of 4.0 for its disclosure index, compared with regional average of 5.9. (World Bank Doing Business, 2009; personal interviews: June-July 2009.) </t>
  </si>
  <si>
    <t xml:space="preserve">Technically, only listed companies are required to follow IFRS. However informants report that accounting standards at the largest microfinance institutions, Maya and Grameen, are in line with best international practice. Regulated institutions are supervised by the Turkish Accounting Standards Board (TASB), which has its own legal status and administrative and financial autonomy vested in it by Law No 4487. TASB invoked its authority to implement IFRS as part of Turkey's EU accession process and harmonisation of its laws. According to accountancy firms such as PWC and KPMG, the standards are now fully compliant with IFRS. (Turkish Grameen Microcredit Project, 2008; personal interviews, June-July 2009; World Bank Doing Business 2009; Deloitte/IAS Plus.) </t>
  </si>
  <si>
    <t>Uganda adopted IAS and ISA in 1998. The passage of the Financial Institutions Act (2004) has also improved the financial reporting environment for banks and MFIs. However, gaps in compliance still exist and Uganda lacks an independent overseer of accounting and auditing standards (World Bank ROSC, 2005.)</t>
  </si>
  <si>
    <t xml:space="preserve">By law, all Uruguayan companies (including SAs) must follow IFRS as of May 19th 2004; adherence to subsequent modifications to IFRS, which were substantial, is not required, however, and a 2006 World Bank report found that different rules still apply to a variety of enterprises, depending on their sector or legal form. The (internal) auditor's report refers to conformity with Uruguayan GAAP, which is similar to IAS. However, the country lacks a unified accounting methodology and external auditing is not required. The sole Uruguay institution listed in MIX Market, a co-operative which has no more than 20% of its portfolio in microfinance, is rated. Non-regulated institutions (co-operatives and NGOs) have even more uneven practices, as they are not subject to such financial-system norms. However, the Auditoria Interna de la Nación (AIN, the National Internal Comptroller), which has different offices for each type of non-bank financial institution it oversees, has recently stepped up considerably its enforcement actions regarding purported tax evasion and other offenses (particularly on the part of co-operatives). (World Bank, Report on the Observance of Standards and Codes, January 2006; Economist Intelligence Unit, Country Commerce, April 2007, April 2008; IAS PLUS/Deloitte; MIX Market.) </t>
  </si>
  <si>
    <t>Until recently, national standards have been used economy-wide, with IAS used on a supplementary basis. Among financial institutions, two sets of books have been required, one following national standards (for example, inflation accounting) for tax treatment and another following IAS for disclosure and reporting. However, IFRS have been required from 2006 for all listed companies, and from 2007 they are also required for unlisted companies, except SMEs, for whom they will go into effect at end-2010. Since 1996 Sudeban has required banks to distinguish between short- and long-term investments, to classify investments based on risk, to readjust investments to reflect market value each month, and to bolster their provisions for bad loans. Since most microfinance activities are run by banks or bank affiliates, accounting standards are generally solid and uniformly regulated in the microfinance industry. However, standards at NGOs depend upon self-regulation and are more uneven. (Economist Intelligence Unit, Country Finance, July 2008; personal interviews: August 2008, June 2009; Deloitte/IAS PLUS; eStandards Forum; Federation of Certified Public Accountants of Venezuela, website; Inter-American Accounting Association.)</t>
  </si>
  <si>
    <t xml:space="preserve">Vietnam has issued 26 Vietnamese Accounting Standards (VAS) in five phases since 2000. The last phase was seen in 2005 when four accounting standards on recording provisions, contingent liabilities, contingent assets, insurance contracts and earnings per share were issued. Nevertheless, standards fall short of international best practice. State banks that provide microfinance services follow VAS at best, and because smaller MFIs cannot accept foreign investment there has been no adoption of international accounting standards. (PlaNet Finance 2008; personal interviews: June 2009; Deloitte/IAS PLUS; VietnamNet.) </t>
  </si>
  <si>
    <t>This is one of the weakest aspects of Argentinean microfinance. Requirements for Argentinean corporations (SAs) are mostly limited to the publication of charters in the Registro Público de Comercio (the public commercial registry) and presentation of balance sheets 15 days before any shareholders’ meeting. There is little regulation of minority rights and other aspects of corporate governance. For listed firms, the capital market reform of 2001 provides for charters, information to shareholders, voting rights, minority rights, mandatory tender offers once 35% of shares are acquired by a single purchaser, rights to fair price in de-listings and squeeze-outs, and independent audit committees. However, some firms have de-listed to avoid these rules, and enforcement through the judicial system remains lengthy and cumbersome. According to World Bank Doing Business (2009), Argentina has a score of 4.7 out of 10 on the Investor Protection Index, compared with a regional average of 5.0. NGOs and SAs in practice face only minimal regulation and supervision, the principal requirement being simply to submit financial statements and reports to the General Inspectorate of Justice and Provincial Directorates of Juridical Persons. Awareness on the part of MFIs of the importance of improving governance practices is undeveloped. (OECD, Latin America CG Roundtable, 2005; Curat et al, 2007; Economist Intelligence Unit, Country Finance, November 2008; personal interviews:, August 2008, June-July 2009.)</t>
  </si>
  <si>
    <t>Under various Supreme Decrees (22409 of 1990, 26140 of 1991 and 26973 of 2003), non-profit private institutions or juridical persons—whether domestic or foreign, religious or secular—undertaking development or aid-oriented activities with government or external funding may provide financial services. Many NGOs have unregulated microfinance operations. In addition, under the General Law for Co-operative Societies (1958), Regulations of Financial Activities for Credit Unions (1993), and Supreme Decrees 24439 (1996) and 25703 (2000), closed co-operatives may provide member-only financial services. This particular type of co-operative constitutes a supplemental liability credit and savings union that only performs financial operations for its members, lacks a financial operating licence, and is ASFI-regulated. Previously, the Instituto Nacional de Cooperativas (INALCO, National Institute of Co-operatives) authorised and supervised closed co-operatives, but, in a step seen as positive, under a May 2008 law they are now supervised by the ASFI. NGOs are not taxed for their MFI operations. Going forward, many NGOs are preparing to become regulated MFIs, with the incentive of being able to capture deposits. (Personal interviews: August 2007, August 2008; Microfinance Gateway.)</t>
  </si>
  <si>
    <t>The legal framework sets conditions for regulation or supervision based on size. MFIs with portfolios above R100m and a client base more than 1,000 must register with the NBC and report to it; those below those figures do not. While there are 26 NGOs that are large enough to require registration with the NBC, currently there are around 60 NGOs supplying credit in rural areas that, because of their smaller size, are unregistered. Regulatory obstacles regarding the establishment of NGOs are few, but unregistered NGOs must also accept more limited funding opportunities. They cannot access international funding and rely heavily on the Rural Development Bank (RDB) for money. (CGAP 2005; International Development Law Organisation 2008; PlaNet Finance 2008; personal interviews: June 2009; Banking With the Poor 2009; Microfinance Gateway.)</t>
  </si>
  <si>
    <t>NGOs are permitted to provide clients with loans and other microcredit services; however, they cannot mobilise savings. Four of the 16 institutions listed on the MIX market are registered as NGOs. Savings and credit co-operatives (Coopecs) are governed by Law 002-2002, with no minimum capital required. (CGAP diagnostic report 2007; personal interview: June 2009.)</t>
  </si>
  <si>
    <t>Financial service delivery in Ethiopia by NGOs is legally prohibited. However, there are a number of international NGOs that continue to offer microcredit services to their clients outside the law. (CGAP Microfinance Regulation Centre, Country Profile; MicroNed 2007; personal interview: June-July 2009.)</t>
  </si>
  <si>
    <t>NGOs, community-based organisations, rotating savings and credit associations (ROSCAs) and accumulating savings and credit associations (ASCAs) can provide microcredit services, but these unregulated institutions are not permitted to mobilise deposits. Most microfinance institutions (MFIs) listed on MIX market are NGOs (11 of 16). However, informal savings agents (“Susu dealers”) have a high penetration rate in Ghana and provide savings services, often at negative interest rates, to rural and urban clients. There is a significant amount of self-regulation in the finance sector, with the CUA and the ARB Apex Bank taking some regulatory responsibilities. The Ghana Co-operative Susu Collectors’ Association (GCSCA) encourages self-regulation among members. (CGAP series paper 2005; personal interviews: June-July 2009.)</t>
  </si>
  <si>
    <t>NGOs, foundations, village banks and solidarity groups can all form and operate as non-regulated entities. Some even have licences to offer services beyond microcredit, though they cannot capture savings from the general public.  It is possible for them to form a separate legal entity, as the foundation FONKOZE has done with its microfinance operation. In addition to FONKOZE, three NGO MFIs from Haiti are listed among the seven Haitian institutions in MIX Market.  (Personal interviews: August 2008, May-July 2009; MIX Market.)</t>
  </si>
  <si>
    <t>NGOs are largely restricted to microcredit and do not have much access to public funding. They have a slow rate of growth. Seven of the 15 MFIs listed in MIX Market are NGOs. (Personal interviews: August 2008, June-July 2009; MIX Market.)</t>
  </si>
  <si>
    <t>NGO-MFIs must register as a society, trust, co-operative society, non-profit company, producer company or mutual benefit society. With the exception of co-operatives, these institutional forms are considered to be charitable organisations and are therefore tax exempt. Also, NGO-MFIs are not currently permitted to collect deposits from the public, although they do accept savings from their borrowers. Those that accept foreign contributions must comply with the Foreign Contribution (Regulation) Act 1976 and report the amount of foreign contributions received and how the funds were utilised, among other requirements. NGO-MFIs are allowed to access foreign debt financing of up to US$5m per fiscal year if they demonstrate a good borrowing relationship with a commercial bank for at least three years. In practice, NGO-MFIs are very lightly regulated, if at all, because of the sheer number of societies and other legal entities registered at with registrars that are often understaffed and lack the specialised skills to oversee microfinance activities. The Micro Financial Sector Bill still pending in Parliament since 2007 proposes to make the National Bank for Agriculture and Rural Development (NABARD) the official regulator of NGO-MFIs. If passed, NGO-MFIs will have to meet minimum capital requirements (around US$10,000) to obtain licensing from NABARD. Furthermore, the bill may open up deposit-taking restrictions on MFIs, but passage of the law and its details remain uncertain. (Micro-Credit Ratings International Limited, 2006; Micro Financial Sector (Development and Regulation) Bill No. 41 of 2007; Microfinance Gateway Highlights 2008; personal interviews: May-June 2009; central bank; M-CRIL, A Study of the Regulatory Environment and its Implications for Choice of Legal Form by Microfinance Institutions in India.)</t>
  </si>
  <si>
    <t>There is no specialised vehicle, and no legal framework for microfinance in terms of risk categories, provisioning, and the like. As a result, documentation and governance structure requirements are better suited to larger commercial banks and are deemed to be quite burdensome and costly for microfinance organisations, occasionally preventing key players from upgrading. Despite the fact that there are no specific regulatory pathways for upgrading, one institution recently made the transition from finance company to bank, Banco Delta. A special law was passed in 1996 under which MiBanco was originally authorised to open a microcredit unit, and other banks have utilised the same law since to take the same step. (Personal interviews: August 2008, June-July 2009.)</t>
  </si>
  <si>
    <t xml:space="preserve">Six specialised government financial institutions and regional development banks (RDBs) play a leading role in the delivery of microfinance services, with over 50% total market share. The government also provides microcredit directly to the public through more than 1,000 Samurdhi banks that are part of the Samurdhi Development Programme. These institutions offer subsidised credit and frequent debt relief, which has severely hampered the commercialisation of the sector. The leading non-government microfinance institutions (MFIs) are private limited companies, such as Lak Jaya and Sewa Finance. However, as private companies, they face obstacles: under law, microfinance is classified as a money-lending activity and MFIs are therefore not eligible to accept foreign investment. Lak Jaya received a substantial investment from ASA of Bangladesh, but now there are concerns that the investment was illegal. There does exist a Finance Companies Ordinance under which non-governmental organisations (NGOs) operating in microfinance may apply for a commercial bank licence (allowing them to take limited deposits and access international investment), but so far no NGOs have made this transformation, as most are sufficiently capitalised for their current size and the commercial banking requirements are difficult to meet (minimum capital requirements are set at US$2m). (CGAP 2006; International Development Law Organization 2007; PlaNet Finance 2008; Banking With the Poor Network 2009; personal interviews: July-August 2009; Microfinance Gateway.) </t>
  </si>
  <si>
    <t xml:space="preserve">Previously there existed no formal legal vehicle for NGOs to upgrade or banks to downscale, but the new law enables banks to downscale and NGOs to upgrade and operate as independent commercial businesses, and requires them to register with the Central Bank of Yemen and allows them the right to set their own rates. However, limits are placed on the maximum amount that can be lent to an individual or company: up to 0.5% of all the MFI’s capital, although this can be raised to 1% if the borrower’s collateral includes, among other things, real estate or state guarantees. It is currently unclear as to how cumbersome this registration process will be. Al Amal (originally established under its own law in 2002, Law no. 23) will be the first bank to fall under this category, although the National Microfinance Foundation (NMF) is considering upscaling itself into a fully fledged bank. The dozen or so MFIs not enjoying official bank status are not obligated to upgrade however, and will not have to comply with this requirement. 
For NGO MFIs the government does, however, provide technical and financial assistance through the SFD in exchange for compliance with certain reporting and governance standards; the SFD now requires its clients to submit monthly financial updates, covering, among other things, an income statement and profitability ratios, in order for the SFD to determine the health of the institution’s balance sheet. This is part of an incremental upgrading of the regulatory process, with the SFD also experimenting with several operating models (including the ASA model, which allows for a standardised accounting model and decentralised management). Many of the country's MFIs, such as the Sanaa Microfinance Programme, began as women’s associations or private initiatives by important social figures, who then received technical and financial assistance from the UNDP and the SFD to set up their microfinance operations. (Personal interviews: March-June 2009; Yemen Microfinance Law.)
</t>
  </si>
  <si>
    <t>Administratively, forming an NGO can take up to one year. Each province has its own authority that registers NGOs. While NGOs can set market interest rates, they face subsidised competition in the form of second-tier public loans to competitors that require fixed interest rates (6% currently). NGOs have difficulties in accessing public or commercial funding, although possibilities of funding via banks may open up in a post-crisis context under the December 2008 Central Bank circular enabling banks to lend to MFIs. Although NGOs are exempt from value-added tax (VAT)—which SAs, the other type of regulated institution, face—their credit operations are taxed, as they must transfer the VAT to the customer or make provisions for this expense. In June 2009 restrictive requirements on multilateral funds that enter Argentina were lifted, so that multilateral credit inflows to Argentina are no longer subject to a 30% deposit requirement or a holding period. (Curat et al, 2007; personal interviews: August 2008, June-July 2009.)</t>
  </si>
  <si>
    <t>Since the new law on credit organisations was adopted in 2006, it is no longer possible to remain a non-profit entity and provide microfinance. All NGOs wishing to issue credit must register as a credit organisation by taking on the legal form of a limited liability company (LLC), joint stock company (JSC) or co-operative and retaining 100% ownership. (Microcapital 2006; CGAP Reports 2009; personal interviews: June-July 2009.)</t>
  </si>
  <si>
    <t>The legislation governing NGOs originated at the end of the 1990s for the purpose of developing humanitarian support programmes. All NGOs were considered to be humanitarian institutions set up to help internally displaced people as a result of the Armenian-Azeri conflict. However, because the Civil Code and specialised legislation governing NGOs defined them as “non-commercial organisations”, international NGOs were effectively barred from establishing NGOs offering microfinance in Azerbaijan. However, legacy institutions do exist with a hybrid NBCO-humanitarian status, because their microfinance activities began before the humanitarian laws were passed. To maintain their microcredit operations legally, these legacy institutions were forced to create for-profit NBCOs, even though they were still classified as humanitarian institutions. As it is unlikely that new NBCO licences will be granted without the passage of a law on microfinance, any potential, new micro-finance organisations have only one viable option: to be registered directly as a local limited liability company (LLC). This means that they would be considered purely commercial entities with no development or social agenda, and would have to pay regular corporate taxes (22%). (Microfinance Centre for CEE &amp; NIS 2007; personal interviews: June-July 2009.)</t>
  </si>
  <si>
    <t xml:space="preserve">NGOs were essentially unregulated until the passage of the Microcredit Regulatory Act in 2006 and the subsequent creation of the Microcredit Regulatory Authority (MRA), a statutory organisation independent of the central bank, although its leadership is currently drawn from its ranks. The MRA is tasked with licensing, monitoring and supervising all microcredit organisations (except Grameen and other banks and financial institutions that may choose to enter the microfinance space). One expert expressed concern that the authority would take a controlling rather than an enabling approach. The MRA requires all MFIs under its purview to apply for a licence; to qualify, they must have outstanding loans of TK4m (around US$57,000) or a minimum of 1,000 borrowers, and must be registered under the appropriate societies, company or co-operative law. As of 2009, 409 NGO MFIs have been granted a licence, out of around 4,000 applications. Those whose applications have not yet been acted upon have continued to operate, however. The MRA also holds the power to issue additional regulations on savings-mobilisation, use of earned profit, governance structures, reporting requirements, internal and external audit, and other operational areas, but has not yet done so. In early 2009 it made an interim ruling capping interest rates for MFIs under its purview to a flat 15% or 30% on a declining balance basis. While larger MFIs reporting to MIX Market show portfolio yield close to or below 22% (after inflation), smaller MFIs may struggle to meet the newly imposed ceiling. (Microcredit Regulatory Authority; personal interviews: May 2009.) </t>
  </si>
  <si>
    <t>Regulations call for annual on-site visits by the BCC. However, supervisory capacity is severely lacking. The low number of MFIs (currently 16 institutions) allows banks to conduct on-site; however, these are limited to Kinshasa and the BCC cannot supervise institutions outside of the capital.(CGAP diagnostic report 2007; personal interview: June 2009.)</t>
  </si>
  <si>
    <t>While there is a specialised group at the NBE for MFI supervision, NBE does not have the capacity to supervise all MFIs. The Association of Ethiopian Microfinance Institutions (AEMFI) provides for self-regulation among its members. The AfDB is currently funding an initiative to increase the capacity of MFI regulators in Ethiopia. (MicroNed 2007; personal interview: June-July 2009.)</t>
  </si>
  <si>
    <t>The BoG has limited capacity for conducting its supervisory duties and frequently outsources responsibilities to industry organizations. The CUA is the de facto regulator for credit unions and the ARB Apex Bank assists the self-regulation of the RCBs. Pending legislation would formalise the CUA’s role in regulation. In practice, the BoG has taken over management of RCBs in the past owing to non-compliance, thereby stretching the capacity of a weak supervisory system. (CGAP Profile; personal interviews: June-July 2009.)</t>
  </si>
  <si>
    <t>General banking and financial institution regulation and supervision are weak. The BRH has been slow to regulate co-operatives/credit unions, despite a legal mandate to do so. Specialised capacity for microfinance regulation is generally lacking, although the BRH continues to receive technical assistance to set up a credit registry that would join the formal and informal sectors and include input from MFIs. (IMF, Haiti: Financial System Stability Assessment, February 5th 2008; personal interviews: August 2008, May-July 2009.)</t>
  </si>
  <si>
    <t xml:space="preserve">Honduras is in the process of strengthening banking supervision and enhancing prudential norms. The CNBS's specialised capacity seems slowly to be catching up with the growth of the market. Prudential regulation in the form of a circular issued in 2008 now defines microcredits as those granted to finance small-scale activities, to enterprises operating in the informal sector, where total loans do not exceed US$532 (L10,000) to enterprises whose main source of repayment comes from the productive activities. While the definition represents a step forward, there have also been more troublesome moves, such as requiring higher levels of provisioning for microfinance and eschewing any requirement to consult credit bureaus. Upgrading paths across institutional forms are also still not as smooth and transparent as they might be. (IMF, 2006 Article IV Consultation with Honduras, Public Information Notice No. 07/31, March 2007; personal interviews: August 2008, June-July 2009; Microfinance Gateway.)  </t>
  </si>
  <si>
    <t>The Reserve Bank of India has specialist departments that examine and regulate the various aspects of banking, including the provision of microfinance. The Department of Non-Banking Supervision is responsible for the compulsory registration and maintenance of liquid assets and reserve funds of, among others, NBFCs, while the Rural Planning and Credit Department formulates policies for banks relating to rural credit, monitors the implementation of priority sector lending, including microfinance provision, and encourages credit-delivery innovations, such as microfinance initiatives. One of our informants believes that the numbers, skills and microfinance expertise of examiners and other regulators in India still needs improvement. If the Micro Financial Sector (Development and Regulation) Bill is passed, NABARD would be responsible for regulating, registering and overseeing microfinance activity. Industry analysts note that this could be problematic, as NABARD is a key player in the sector and this new role could present a conflict of interests. (Microfinance Gateway Highlights 2008; personal interviews: May-June 2009; Reserve Bank of India.)</t>
  </si>
  <si>
    <t xml:space="preserve">The CSBF’s capacity to oversee and regulate the numerous MFIs now in operation is low and ineffective, despite the creation of a specialised group for the supervision of MFIs. Reviewing licences is extremely time-consuming as a result. In addition, resources are scarce and the CSBF is not capable of conducting regular onsite visits. CGAP and other international organisations are currently providing funds to bolster the microfinance supervision capabilities of the Central Bank. (Andrianasolo Paper, 2008; CGAP CLEAR; personal interviews: June-July 2009.) </t>
  </si>
  <si>
    <t>The supervision of MFIs falls under the bank supervision division in the central bank. There is not a specialised group of examiners for microfinance. Twenty examiners have been trained to supervise microfinance institutions specifically, but this initiative is at the behest of donors with competing concerns. Onsite visits have been conducted for larger MFIs. (Personal interview: June-August 2009, Microfinance in Mozambique, 2005.)</t>
  </si>
  <si>
    <t>The Other Financial Institution Department (OFID) of the CBN is responsible for the supervision of MFBs and is generally lacking in the capacity to oversee MFIs. As of January 2009 this office had 170 examiners to oversee more than 800 MFBs. Additionally, there is significant non-compliance with CBN reporting requirements for MFIs. (Access to finance in Nigeria, 2009; personal interviews: June-July 2009 .)</t>
  </si>
  <si>
    <t>International organisations, such as the IMF and the OECD, generally have praised Panamanian regulators for their improved supervision of the financial sector. Panama’s basic banking law (Decree No. 9, February 1998) meets the standards of leading financial centres around the world for transparency and regulation. However, the Superintendency lacks understanding of microcredit and a specific definition or legal framework. The new decree on loans to micro- and small enterprises (see above), nevertheless does make progress in the right direction (Economist Intelligence Unit, Risk Briefing, August 2008; personal interviews: August 2008, June 2009-July; Economist Intelligence Unit, Country Finance, February 2009; website, Superintendencia del Ministerio de Economía y Finanzas.)</t>
  </si>
  <si>
    <t>The Central Bank regulates and supervises the financial industry. Although the Central Bank has specialised oversight capacity for rural banks and finance companies, it does not have the capacity to supervise the 20,000 or so microfinance service providers, some exceptionally small and remote, so it has not pushed for the passage of the Microfinance Act that would create a cohesive regulatory and supervisory system for the microfinance industry. Further weakening the regulatory environment is the fact that the Ministry of Samurdhis supervises the Samurdhi Bank Societies and is technically responsible for overseeing NGOs, their supervisory capacity is quite low. CGAP 2006; International Development Law Organization 2007; PlaNet Finance 2008; Banking With the Poor Network 2009; personal interviews: July-August 2009.)</t>
  </si>
  <si>
    <t>The central bank is very involved in microcredit activities and allegedly has the capacity to supervise the lenders, but some say there are too many players and resources are somewhat limited in comparison. The bank also reportedly lacks technical know-how. (Personal interviews: June-July 2009.)</t>
  </si>
  <si>
    <t>The supervision of MFIs falls under the bank supervision division in the central bank. The arm of the BoT is clearly strong, given its interventions in a number of banks (such as Trust Bank, Greenland Bank, and others). However, the examiners lack the resources and training to effectively supervise MFIs and place unnecessarily high emphasis on compliance. (Personal interviews: May-June 2009.)</t>
  </si>
  <si>
    <t>Financing is expected to continue to be made available mainly on market-based criteria, with no special restrictions applying to foreign investors. However, the availability of long-term capital, both equity and debt, will be limited by the shallowness of the domestic financial market and tight international conditions. The banking sector is relatively healthy, and regulatory supervision has been improved in recent years. A booming economy and falling domestic interest rates fuelled strong growth in banking credit to the private sector in 2006-08. Nonetheless, non-performing loans (NPLs) have remained at very low levels, reflecting a sharp fall in real borrowing interest rates. The still-high proportion of dollar-denominated lending (mainly at private banks), at lower interest rates than those offered on local-currency-denominated loans, would magnify the consequences of a maxi-devaluation, although such an event is unlikely. The risk of a systemic banking crisis is small. (Economist Intelligence Unit, Risk Briefing, July 2009.)</t>
  </si>
  <si>
    <t>The Central Bank of Nigeria (CBN) is responsible for the regulation and supervision of the financial services industry as a result of the Central Bank of Nigeria Act of 1991 and the Banks and Other Financial Institutions Act of 1991. In January 2006 the CBN implemented new minimum capital requirements of banks, thereby facilitating consolidation within the industry in which over 80 banks were reduced to 25. Provisions for regulating microfinance institutions (MFIs) falls under the general banking laws, although the Central Bank also created the Microfinance Policy, Regulatory and Supervisory Framework for Nigeria (Microfinance Framework) in 2005 to guide the development of the industry. This framework allows for the licensing of Microfinance Banks (MFBs) through the CBN. Low minimum capital requirements at the state level have encouraged many new entrants in the market. Capital adequacy ratios are 10% for commercial and Rural and Community Banks (RCBs). However, there is much confusion regarding the cap on interest rates to the CBN's monetary policy rate (MPR) for institutions that borrow from the Central Bank. This rate varied between 8.0% and 10.0% in March through May 2009. In practice, this cap is not enforced, but it is not clear how the CBN’s stance will evolve. Moreover, there are two public wholesale lending initiatives, including the Micro Credit Fund (MCF), that subsidise interest rates for publicly supported microfinance services, creating potential distortions in the market. However a significant proportion of these funds has not yet been dispersed. (Access to finance in Nigeria, 2009; WB/CGAP 2009; CGAP Regulation Center; Central Bank; personal interviews: June-July 2009 .)</t>
  </si>
  <si>
    <t>Banks and finance companies are the main regulated types of microfinance institutions (MFIs), while credit unions are regulated through an autonomous institute and are not financially supervised. Institutions are free to set interest rates. Some public institutions, such as the Banco de Desarrollo Agropecuario and Caja de Ahorros (BDA, Agricultural Development Bank), compete unfairly with private MFIs through low interest rates and other concessional terms reflecting subsidies. Documentation and capital-adequacy requirements are not onerous. Although the Superintendency lacks a clear definition and legal framework for microfinance, it is still an incipient activity and Panama has progressed in this direction through a new decree (effective as of 28th August 2008) that now considers micro and small enterprises, as previously defined in the Law on Micro and Small Enterprises, as banking clients if they receive credits for commercial purposes up to a total of US$200,000. This should open a window for banks to give microloans, though the practical impacts still remain to be seen, and may have to wait for the easing of the current global crisis. The decree expressly says that the 2002 Law of Microfinance (law 10) remains in effect and is not overridden by the current law (Personal interviews: August 2008, June-July 2009; website, Superintendencia del Ministerio de Economía y Finanzas.)</t>
  </si>
  <si>
    <t>In 2006 the Banque Nationale de Rwanda (BNR, the central bank) was forced to close nine MFIs for illegal activities and insolvency. This was largely owing to the industry’s rapid growth after the 1994 genocide and regulators’ inability to supervise these institutions, most of which effectively operated outside the regulatory system. The previous legislation (Law 8/99 and Instruction 006/2002) was replaced by Law No. 40/2008 Establishing the Organisation of Micro Finance Activities, and this law took effect in 2009. The BNR is responsible for the regulation and supervision of all financial institutions and microfinance institutions (MFIs), which are tiered from Category 1 to 4. Category-1 institutions are not subject to formal requirements; category-2 institutions are required to report their activities to the Ministry of Commerce; category-3 and -4 institutions are prudentially regulated with minimum capital and reporting requirements. Banks are free to set interest rates and although minimum capital requirements were increased in 2007, they remain low. Capital adequacy requirements for regulated MFIs are set at 10% of assets and reporting requirements are standard. One reported obstacle to the sector’s development is the poor culture of repayment enforcement and client risk management as a side effect of post-genocide subsidy and grant-making practices. (Rwanda Microfinance Assessment 2005; Katengwa Paper 2009.)</t>
  </si>
  <si>
    <t>Although there is currently no legal framework for microfinance provision by banks specifically, the Banking Act regulating the financial services sector does allow for microlending. To date, six commercial banks provide microfinance services in Sri Lanka. Hatton National Bank’s Gami Pubuduwa programme is recognised as the best microfinance programme among commercial banks, with US$35m in credit outstanding to 70,000 clients. One finance company, Lanka Orix Finance provides some financial services to the poor and low-income population, although primarily through consumer loans. For most other commercial institutions, microfinance is more a Corporate Social Responsibility or image-building activity. They often lack the capacity to move into microfinance or the desire to invest in a microfinance subsidiary. Subsidised credit from government institutions or interest rate restrictions (wholesale funds from the National Development Trust Fund, which are earmarked for rural areas, can only be on-lent at 12% or 16%, depending on the loan) makes microfinance unattractive to commercial institutions. Capital requirements range from SLRs1m-50m (US$8,800–US$440,000), depending upon the level at which the institutions is registered. Interest rates are not regulated, but under the Moneylender Act the Central Bank of Sri Lanka keeps a watchful eye on the interest rates charged by microfinance institutions that use foreign investment to grow. (CGAP 2006; International Development Law Organization 2007; PlaNet Finance 2008; Banking With the Poor Network 2009; personal interviews: July-August 2009; Microfinance Gateway.)</t>
  </si>
  <si>
    <t>The 1995 Banking Law created the Comission de Supervision Bancaire et Financière (CSBF, the Banking and Financial Supervision Committee) within the Banque Centrale de Madagascar (BCM, the Central Bank) and is responsible for the regulation and supervision of financial institutions, including microfinance institutions (MFIs). The Stratégie Nationale de MicroFinance (SNMF, the National Microfinance Strategy) was later defined in 2004 to create a framework for the development of the industry, as well as the Coordination Nationale de la MicroFinance (CNMF, the National Microfinance Coordination Unit) within the Ministry of Finance. The banking services Law No. 2005-016 (September 2005) gives the CSBF regulatory and supervisory responsibility over MFIs. The law designates a hierarchy of MFIs among three tiers, each divided between mutualist and non-mutualist designations, with increasing levels of regulation and supervision concomitant with the level of financial risk (that is, tier-1 institutions receive minimal oversight and supervision, tier-3 the most). The designations are somewhat complex. Tier-1 institutions, such as non-governmental organisations (NGOs) and co-operatives, do not have minimum capital requirements. For tier-2 institutions, minimum capital requirements are between A15m and A200m (around US$7,500 to US$100,000), depending on the designation (mutualist Société Coopérative, non-mutualist Société à responsabilité limitée, etc). Tier-3 institutions have a minimum capital requirement between A300m and A1bn (around US$150,000 to US$500,000). MFIs are free to set their interest rates, although maximum loan sizes are restricted to a percentage of the minimum capital requirement of the specific designation (tier), thereby inhibiting growth, product diversification and forward integration in the market. Additionally, the state subsidises interest rates, typically to rural clients under the justification of jump-starting the industry. Additionally, most of the larger commercial banks are engaged in wholesale lending to the much smaller microfinance industry. (CGAP CLEAR Paper 2005; Andrianasolo Paper, 2008; personal interviews: June-July 2009.)</t>
  </si>
  <si>
    <t xml:space="preserve">Banks and non-bank financial institutions (NBFIs) are governed by the Law on Banks and Banking (1996) and the Law on Credit Organisations (2002), which established a legal entity for NBFIs. Banks and NBFIs are regulated by the Central Bank of Armenia (the Central Bank). Interest rate ceilings (currently at 24%) apply both to microfinance institutions (MFIs) and commercial banks. These ceilings are not enshrined in the Law on Banks and Banking (adopted in 1996), but are rather imposed through the civil code and are supervised by the Central Bank. The minimum ratio of total capital to risk-weighted assets is 12% for banks, 10% for NBFIs that are “Universal Credit Organisations” and 6% for NBFIs that are “Credit Organizations". The provisioning requirements placed on microcredit loans are not lower for microfinance than in the general financial sector, although there are no restrictions on loan size and banks are allowed to conduct microcredit operations in foreign currency. There is no evidence of any competing, subsidised government credit programme. According to informants, government is broadly in favour of free-market economic and financial policies, which foster microcredit. (MIX Market Report, 2004 and January 2006; Law no 39-N 2007 and Regulation 9 2007; Asian Development Bank, 2008; Vision Microfinance 2008; CGAP Report 2009; personal interviews, June-July 2009; Central Bank website.) </t>
  </si>
  <si>
    <t>The banking industry is still in its infancy following the country’s emergence from civil war in the late 1990s. The legal justification for the regulation of the banking industry is Banking Act (No. 003-2002) and for microfinance institutions (MFIs) specifically there is a directive entitled Instruction No. 001, December 2005, which classifies MFIs into three categories of varying development: Category 1: MF enterprises, credit services only; Category 2: MF enterprises, credit and savings services, for-profit; Category 3: MF corporations, must be for-profit, limited liability companies. The regulator of the finance industry is the Banque Centrale du Congo (BCC, the Central Bank), as outlined by the Banking Act 2002. At present, there are no interest rate caps, reporting is burdensome, but not prohibitive, and the minimum capital requirements are tiered for different institutions and are low: US$15,000 for Category 1 and up to US$100,000 for Category 3 MFIs. However, registration and licensing of commercial banks, including those offering microfinance products, requires the approval of the president, Joseph Kabila, and can take up to 18 months. The majority of funding for the banking sector comes from abroad, as the DRC's public sector does not have the resources to promote microfinance and many donor organisations (USAID, DfID, CIDA, GTZ, and others) are willing to do so. However, most of these are grants for technical assistance, and not working capital per se. (CGAP diagnostic report 2007; personal interview: June 2009.)</t>
  </si>
  <si>
    <t>The Bank of Ghana (BoG, the central bank) is the sole regulator of banks and other financial institutions, as outlined in the Bank of Ghana Act 2002 and Banking Act 2004 (and its 2007 amendment). However, the Association of Rural Banks (ARB) Apex Bank is also licensed to undertake limited supervisory functions for rural banks. The Financial Institutions (Non-Banking) Law of 1993 and the Non-Bank Financial Institution (NBFI) Business Rules for Deposit-Taking Institutions 2000 impart regulatory and supervisory responsibilities to the BoG over NBFIs, including savings and loan companies. Credit unions are technically regulated by the Financial Institutions Law 1993, but in practice they are regulated and supervised by the Ghana Co-operative Credit Union Association and in conjunction with the Department of Co-operatives. For rural and community banks (RCBs), minimum capital requirements are within reason GH¢150,000 (US$114,000) and banks are free to set interest rates. Capital adequacy ratios are 8-10% of assets for banks, RCBs and NBFIs. The Ghana Co-operative Credit Union Association (CUA), an apex body and quasi-regulator for credit co-operatives, caps interest rates by credit unions that receive wholesale funds from the CUA. (CGAP Regulation Centre Profiles; CGAP 2005 Paper; central bank 2008; personal interviews: June-July 2009)</t>
  </si>
  <si>
    <t>The Banque de la République d’Haiti (BRH, the central bank) regulates two types of institutions that also engage in microfinance: commercial banks and co-operatives/credit unions. Five of the nine domestic banks have entered microfinance since 1997. However, there are no specific regulations for microfinance per se. Banks in practice undertake microfinance through either a specific department or a separate specialised entity constituted as a non-bank financial institution (NBFI). However, the IMF finds that credit unions are often poorly managed and regulated, although some operate on a sound footing and a credit union federation formed in 2007, Le Levier, aims to improve governance and financial indicators; the BRH is still attempting to overhaul its prudential regulation of credit unions, in an ongoing effort. Interest rates can be freely determined by microfinance institutions (MFIs). Documentation requirements and capital-adequacy ratios are reasonable. The state does not subsidise or distort the microfinance market through its regulation and is largely absent from second-tier funding. (World Bank and IMF Haiti: Financial System Stability Assessment, February 2008; personal interviews: August 2008, May-July 2009.)</t>
  </si>
  <si>
    <t>The Comisión Nacional de Bancos y Seguros (CNBS, the National Commission for Banks and Insurance Companies) is the main regulator. Organismos Privados de Desarollo (OPDs, private development organisations) are non-bank financial institutions (NBFIs) that are regulated microfinance institutions (MFIs); they are divided into first-tier and second-tier organisations and they may not charge interest rates that are more than 3 percentage points higher than the maximum prevailing interest rate of the financial system. Credit co-operatives are also regulated and engage in microfinance, but this is restricted to members. Finance companies also sometimes engage in microfinance, as do a few banks. There has generally only been a minor amount of disloyal competition from state institutions, although in this election year MFIs are reporting more aggressive lending practices by Banco Nacional de Desarrollo Agrícola (BANADESA, the state agricultural bank), including greater debt-forgiveness and lower rates. Interest rates are freely determined by institutions other than OPDs. Capital-adequacy ratios and documentation requirements are not burdensome. (Personal interviews: August 2008, June-July 2009; Microfinance Gateway.)</t>
  </si>
  <si>
    <t>The Reserve Bank of India (RBI) regulates two types of institutions that engage in microfinance activities: banks and non-bank financial institutions (NBFCs). Under two separate RBI Master Circulars (Lending to Priority Sector and RBI Master Circular – Micro Credit), both dated July 1st 2009, domestic banks are required to lend 10% of their adjusted net bank credit to weaker sectors. Weaker sectors include Self-Help Groups (SHGs), which are informal credit and savings groupings of 5-20 poor individuals, and also refer to the microfinance institutions (MFIs) that lend to such SHGs. Banks charge interest rates on lending to MFIs at their discretion, as these loans are larger than the Rs200,000 (US$4,000) threshold, but must follow RBI direction on direct lending to SHGs; this direction is not stated in the law, but rather is set by the RBI from time to time. The current requirement under RBI Master Circular on Interest Rates and Advances dated July 1st 2008 is that interest rates be set at a level equal to or below the bank's Benchmark Prime Lending Rate on all loans under Rs200,000. Loan requirements and interest rate rules apply to private and state-owned banks alike. State banks are arguably at a disadvantage, as these are required to set up branches in rural areas where private and foreign banks may choose not to do so. Commercial banks must maintain a capital-adequacy ratio of 9%, although RBI has reserved the right to increase the minimum based on banks’ risk exposure. The RBI circulars do not apply to NBFCs, and there is no stipulation by RBI on the on-lending rates that MFIs apply when lending to clients or self-help groups. Documentation requirements are reasonable, and NBFCs can take deposits provided they meet capital-adequacy ratio requirements. (Microfinance Gateway Highlights 2008; Reserve Bank of India July 2008 and 2009; personal interviews: May-June 2009.)</t>
  </si>
  <si>
    <t>Currently, detailed regulation related to microfinance is not in place, although there is scope to conduct microfinance within the existing bank and financial services framework (which is generally strong). However, only one of Lebanon's microfinance institutions (MFIs), Ameen, has registered with the Banque du Liban (the central bank) as a financial institution, and as such is subject to standard audit, internal control and Basel II capital adequacy requirements, none of which is particularly prohibitive, but would be beyond the capacity of a small MFI. There is no easing of customer documentation requirements for microfinance, as opposed to conventional, customers. Commercial banks generally do not offer microloans directly, preferring instead to partner with MFIs (indeed, several currently partner with Ameen). In general, interest rates charged are not restricted unless banks take advantage of a special dispensation, issued through a central bank circular, which waives the standard reserve requirements for any micro-lending they undertake. However, this dispensation has not been widely utilised by banks, both because of the interest-rate restriction and because the reserve dispensation only relates to loans in Lebanese pounds, whereas most lending is in US dollars. Companies other than registered financial institutions can lend, however (as Ameen did in 2003-07 before upgrading). All other MFIs, numbering around two dozen, currently function as non-governmental organisations (NGOs) or as arms of political movements, and as such are only lightly regulated. The legality of NGOs undertaking microfinance activities is a grey area, as it has not been explicitly permitted, but authorities have shown recognition and support to the segment in various ways, for example through the provision of concessional loans to MFIs from the Economic and Social Fund for Development. (Personal interviews: May-June 2009.)</t>
  </si>
  <si>
    <t>The Superintendency of Financial Institutions of the Banco Central de la República Argentina (BCRA, the Central Bank), a partly autonomous entity, is the main formal regulator in the overall financial system. Microfinance was until recently a non-regulated industry; institutions operating within it are either Sociedades Anónimas (SAs) or non-governmental organisations (NGOs). Existing institutions, such as banks or NGOs, may form SAs, which are governed by the same rules as commercial and productive enterprises (and subject to lower taxation). However, in December 2008 a Central Bank circular took important first steps toward regulating microcredit: it recognised the activity for the first time; it allowed banks to grant microcredit directly to clients, rather than through SAs; it permitted them to hold up to 100% of the shares in an SA; it eased conditions for banks to lend money to non-regulated microfinance institutions (MFIs); and it created a specific microfinance category for the granting of second-tier funding to MFIs. In the short term, the crisis has prevented this embryonic framework from having an immediate impact. The definition of microcredit is seen by some as too broad and banks still face a labour contracts burden that prevents personnel from working outside branches, which may continue to make it difficult to engage in direct microcredit provision. Although public institutions are in principle second-tier and there are no floors or ceilings on interest rates, public institutions (which account for around 70% of the microfinance market) introduce distortion into market interest rates and competition by requiring institutions to which they on-lend to apply administratively determined rates (currently 6%) and also by offering concessional rates in loans from government programmes that can be as low as one-quarter of those charged commercially. Regulatory obstacles to established institutions also exist in the form of labour laws and contracts, particularly regarding the longer and more flexible working hours that would be required to cater to microfinance clients, and a high tax burden (such as a tax on banking operation for internal administration). Documentation requirements are not problematic, and capital-adequacy standards do not apply, since MFIs are non-regulated. (Curat et al, 2007; personal interviews: August 2008, June-July 2009; Economist Intelligence Unit, Country Finance, November 2008.)</t>
  </si>
  <si>
    <t>There has been no major shift in Bolivia's competitive environment over the scoring period; the level of competition remains fairly high, with an HHI value of 1,393 compared to last year's 1,303. The number of institutions and market size are large by regional standards. (All figures for HHI calculations were supplied by Sergio Navajas and Paola A. Pedroza of the Inter-American Development Bank, IDB in July 2009.)</t>
  </si>
  <si>
    <t>Brazil's microfinance sector is fairly underdeveloped; the total market size is very low by regional standards and relative to the population. Its market is also very complex, since data and HHI calculations operating under different assumptions set the level of competition at varying strengths. A select few institutions, namely CrediAmigo and Central Cresol Baser have absorbed large parts of the market. Consequently, Brazil's score remains unchanged at 0 for the 2008-2009 scoring period, with an HHI of 3,000. (All figures for HHI calculations were supplied by Sergio Navajas and Paola A. Pedroza of the Inter-American Development Bank, IDB, in July 2009.)</t>
  </si>
  <si>
    <t>The market is fairly concentrated, with an HHI score of around 3,300 in 2007. Despite the high number of MFIs, most of them operate within large networks. The microfinance sector is fairly concentrated, as around half the total deposits and credits are concentrated in the country’s three largest networks: CAMCULL (29%), COFINEST (10%, 6%) and le Crédit Communautaire d’Afrique (9%) (data for 2007). (Cemac Survey 2007; MIX Market 2007; personal interviews: June 2009.)</t>
  </si>
  <si>
    <t>Chile's competitive score remains at the lowest possible level, as its HHI has worsened from 6,172 to 9,482. In 2008 Banco Estado had around 95% market share. (All figures for HHI calculations were supplied by Sergio Navajas and Paola A. Pedroza of the Inter-American Development Bank, IDB, in July 2009.)</t>
  </si>
  <si>
    <t xml:space="preserve">According to 2007 MIX Market data, China has a high HHI score of around 3,700. Microfinance is in its infancy and there is no competition among the main players given their small size and wide geographical distribution. MCCs and VBs are prevented from operating outside their home county, and regulators deliberately limit competition by preventing a VB or MCC to be created in a district where another one is already operating. Commercial banks engaged in microfinance include Harbin City Bank, Baotou Commercial Bank, Taizhou Commercial Bank, and MicroCred in Nanchong, Sichuan province. Among the MFOs, the key players are CFPA, Chifeng Zhaowuda Women’s Sustainable Development Association in Inner Mongolia, and Xi’ An Xinchang in Xi’an. (MIX Market 2007; PlaNet Finance 2008; personal interviews: July 2009.) </t>
  </si>
  <si>
    <t>Colombia's HHI score for 2008 is 1,555, showing a healthy level of competition. However this represents a year-on-year increase in the HHI score of 1,205. (All figures for HHI calculations were supplied by Sergio Navajas and Paola A. Pedroza of the Inter-American Development Bank (IDB) in July 2009.)</t>
  </si>
  <si>
    <t>Costa Rica's competitive playing field has remained highly concentrated, with an HHI score of 8,203 for 2008. Costa Rica shows a very high level of market concentration, with Programa BN Desarrollo of the BNCR covering much of the market (around 90%). Only Associacion ADRI maintains a market share of any importance (6%), and the overall number of providers remains moderate by regional standards. (All figures for HHI calculations were supplied by Sergio Navajas and Paola A. Pedroza of the Inter-American Development Bank, IDB, in July 2009.)</t>
  </si>
  <si>
    <t>The Dominican Republic's HHI score for 2008 is 2,273, exhibiting a fair distribution of market portfolio across 11 institutions. (All figures for HHI calculations were supplied by Sergio Navajas and Paola A. Pedroza of the Inter-American Development Bank, IDB, in July 2009.)</t>
  </si>
  <si>
    <t>Most MFIs provide savings and credit services only, and product offerings are limited. (Rwanda Microfinance Sector Assessment 2005; MIX Market 2008.)</t>
  </si>
  <si>
    <t>MFIs generally offer a wide range of services, but most loans are short-term, with little flexibility on conditions. Deposit services are available both to small businesses and individuals. MFIs also offer services in partnership with telecoms operators. Other products include transfers and debit cards (to be launched shortly). (CNC report June 2008; CMS annual report 2009; MFI websites; personal interviews: June-July 2009.)</t>
  </si>
  <si>
    <t>Microfinance is almost exclusively a "mono-product" industry, limited to microcredit. Banks and credit unions, which do not formally engage in microfinance, provide a wider range of services, but to different income profiles from the microlending market and oriented toward consumer finance. (Personal interviews: June 2009.)</t>
  </si>
  <si>
    <t>MFIs are only allowed to provide microloans. They do not offer remittances or deposits, but they do engage in financial training. Maya offers group loans, individual loans and emergency loans to existing clients. (MIX Market 2007; personal interviews: June-July 2009.)</t>
  </si>
  <si>
    <t>Uganda’s microfinance industry is relatively well developed, and the larger MFIs (FAULU, CML, FINCA) have expanded into insurance products, leasing, funds-transfer and remittance products. However, Tier-4 MFIs typically offer only credit, demand deposits and savings services. (MIX Market.)</t>
  </si>
  <si>
    <t>Since the majority of institutions and most microcredit provision is by banks or bank-related institutions, a modest range of services is sometimes offered beyond microcredit and savings, including some combination of insurance, banking cards and domestic fund transfers. The two Venezuelan institutions listed in MIX Market for 2008 offer savings and loans only. Exchange controls make international fund transfers impossible. (Personal interviews: August 2008, June 2009; MIX Market.)</t>
  </si>
  <si>
    <t>Yemeni MFIs offer clients a moderate range of services, including voluntary savings, credit and insurance. Originally, owing to a general wariness regarding interest rates (rooted in the belief that interest is haraam—or forbidden under Islamic law), the earlier MFIs only offered Islamic products (microfinance in Yemen was launched in late 1997), but now many offer conventional lending. In addition, numerous MFIs offer savings accounts, both compulsory and voluntary, and a smaller number also offer Islamic insurance. The MFIs are focused on promoting microenterprises and entrepreneurship (Al Amal, for example, offers loans up to a maximum size of US$4,000), although personal lending is also available. Remittances services are not available, although there are tentative plans for at least one of the MFIs to team up with the Postal Authority, which offers money transfer services. (MIX Market 2008; Small &amp; Micro Enterprise Development in Yemen, Social Fund for Development 2008; personal interviews March-June 2009.)</t>
  </si>
  <si>
    <t>There are two credit bureaus, one private and one run by the Central Bank. The Armenian Credit Rating Agency (ACRA) was established by Credential Inc, a US-based company, in 2004. All financial institutions are obliged to report to the credit bureau run by the Central Bank. Most MFIs use the bureau to assess the risk-worthiness of individual clients. Armenia received a score of 5.0 out of a possible 6 in the World Bank Credit Information Index, compared with a regional average of 4.1. (Personal interviews: June-July 2009; World Bank, Doing Business, 2009.)</t>
  </si>
  <si>
    <t>There is a little penetration of rural areas and some inner-city areas, while certain areas in larger cities and the bauxite zone are saturated. Only two institutions reported portfolio size to the MIX in 2008, and the market is very small by regional standards and indicates an underdeveloped sector. (All figures for HHI calculations were supplied by Sergio Navajas and Paola A. Pedroza of the Inter-American Development Bank, IDB, in July 2009.)</t>
  </si>
  <si>
    <t>Data from MIX Market in 2007 indicates Kenya has an HHI score of 4,500 owing to Equity Bank's presence and the 10-20% market share held by Kenya Women's Financial Trust and K-Rep. However, Kenya’s microfinance industry exhibits a healthy level of competition, with a wide variety and number of institutional types offering services (banks, NGOs, NBFIs and co-operatives). The sector is fairly well developed and there are 13 listed institutions on MIX Market. for 2008 (MIX Market 2007 and 2008; Personal interviews: May-July 2009.)</t>
  </si>
  <si>
    <t>Data from MIX Market 2007 indicates that Lebanon has an HHI of 4,800. Only a few MFIs operate on a commercial or cost-covering non-profit basis (for example, Ameen and al-Majmouha, which in 2007 represented the majority of total loan portfolio according to MIX data). Most other MFIs are either small or focused mainly on a particular sectarian community, for which they often provide credit at subsidised rates. This system limits the choices for prospective borrowers, and introduces criteria for selection that may be more related to community than to the financial characteristics of credit instruments, and distorts competition from the perspective of MFIs, which are unable to subsidise loans. Many Lebanese families have access to remittances from family members living abroad, which can potentially include loans for small-business development, as an alternative to formal microcredit. (MIX Market, 2007; Personal interviews: May-June 2009.)</t>
  </si>
  <si>
    <t>Data from MIX Market 2007 indicate that Madagascar's HHI score is around 1,585; however, this is owing to a fairly even division of the total market portfolio across the five largest institutions and a push by both the government and donors to spread financial services to rural areas. The market is still fairly small and underdeveloped; moreover, Madagascar’s very poor infrastructure makes expansion quite difficult, so donor and government support have been crucial to creating this competitive, albeit unnatural, financial landscape. (MIX Market 2007; personal interviews: June-July 2009.)</t>
  </si>
  <si>
    <t>As of 2007 there was little competition among MFIs, with a high HHI score of 3,000; according to an informant, competition was still low, but growing. Interest rates and costs remained high. Since then, data show that the market has not grown in a more competitive direction, showing an even higher HHI score of 3,727 for 2008. (Personal interview: August 2007; All figures for HHI calculations were supplied by Sergio Navajas and Paola A. Pedroza of the Inter-American Development Bank, IDB, in July 2009.)</t>
  </si>
  <si>
    <t xml:space="preserve">There is only a moderate level of competition among MFIs in Mongolia; 2007 data from MIX Market indicate that market concentration is quite high, with an HHI score of 7,000. The two main commercial providers, Khan Bank and Xac Bank (82% and 17% of total market share in portfolio terms, respectively, according to MIX in 2007), dominate the industry, but often operate in separate markets, with Khan Bank focusing more on rural areas. The other major players are mostly NBFIs, but none has client bases larger than 5,000. Since the NBFIs are concentrated in urban areas, competition is higher in the cities, as demonstrated by the fact that urban areas have narrower interest spreads and the long-term trend in decline in spreads between the deposit and lending rates. (MIX Market 2007; PlaNet Finance 2008; personal interviews: June 2009.) </t>
  </si>
  <si>
    <t xml:space="preserve">Morocco shows a very high level of market concentration; in 2007 the country's HHI score was 2,900 according to MIX Market data, but with the new merger between Zakoura and Fondation Banque Populaire (FBP), these two will represent around 46% market share (based on 2007 portfolio calculations) and the HHI score would consequently be closer to 4,000. In 2007 Al Amana had 42% of the total loan portfolio, so that the market is now dominated by just two institutions, with around 90% market share. (MIX Market 2007; PlanetRating Al Amana 2008; personal interviews: May-June 2009.) </t>
  </si>
  <si>
    <t>Mozambique's 2007 HHI score was 5,500 according to MIX Market data, although figures from the Microfinance Association indicate that the market concentration level is closer to 3,100. ProCredito (which purchased NovoBanco, the largest player in 2007 according to MIX Market data), SOCREMO and Tchuma are key players. As of 2005, 60% of outstanding loans were in or around the capital, Maputo. (MIX Market 2007; Planet Rating 2008.)</t>
  </si>
  <si>
    <t xml:space="preserve">Data from MIX Market in 2007 indicate that Nepal has a low HHI score of 700 according to portfolio size, without considering government programmes—however, this figure is closer to 1,800 based on client estimates and including government programmes. Although competition is still limited, it has been growing among the MCDBs that are concentrated in the capital and the lowland farm belt. Local co-operatives, sponsored by the ADB, also participate in the market and absorb around 120,000 clients. Recently, there have been some instances in which MFIs have lowered their interest rate in order to attract or maintain clients. 
The key players are all the MCDBs that upscaled from NGOs: Nirdhan Utthan Bikas Bank; DEPROSC Development Bank; Chhimek Bikas Bank; Western Region Grameen Bikas Bank; and Swabalamban Bikas Bank Ltd. All have more than 20,000 clients, but none has yet exceeded 100,000 clients. Semi-government owned Grameen Bikash Bank Biratnagar (GBNB) is also a key competitor (MIX Market 2007; PlaNet Finance 2008; Banking With the Poor Network 2009; personal interviews: June 2009; Centre for Microfinance.) 
</t>
  </si>
  <si>
    <t>Nicaragua continues to be one of the most competitive markets in the Latin America and the Caribbean region. Recent data from 2008 reflect this, producing an HHI value of 890. (All figures for HHI calculations were supplied by Sergio Navajas and Paola A. Pedroza of the Inter-American Development Bank, IDB, in July 2009.)</t>
  </si>
  <si>
    <t xml:space="preserve">Microfinance providers operate in Punjab and Sindh provinces, and in these areas the level of competition is high. Data from MIX Market in 2007 indicate that market concentration is moderate, with an HHI score of around 2,400. The key players are the Kashf Foundation (operating in Punjab and Sindh), Khushhali Bank (established by an ordinance in 2000, operating nationwide), and the First Microfinance Bank (also operating nationwide, especially in hard-to-reach areas in the mountainous north). All of these institutions have more than 100,000 clients. The government-backed NRSP, which operates nationwide, has more than 500,000 clients, representing nearly one-third of the total clientele.
Despite the presence of such large organisations, the penetration of financial services in Pakistan compared with neighbouring countries is also low. Currently, only 14% of Pakistanis use savings, credit, insurance, payments and remittance services from the formal financial system, compared with 48% in India, 32% in Bangladesh, and 59% in Sri Lanka. The low penetration rate demonstrates that competition outside the population centres of Punjab and Sindh is limited. (MIX Market 2007; CGAP 2007; PlaNet Finance 2008; SEEP Network 2008; personal interviews: June 2009.) 
</t>
  </si>
  <si>
    <t>Panama's high HHI score of 6,498 reflects the few institutions operating in the country and small market size. Banco Delta has around 80% market share, followed by Cooperativa de Servicios Múltiples Juan XXIII, R.L and MICROSERFIN. (All figures for HHI calculations were supplied by Sergio Navajas and Paola A. Pedroza of the Inter-American Development Bank (IDB) in July 2009.)</t>
  </si>
  <si>
    <t>The level of competition in Paraguay has remained fairly constant, and shows a modest level of competition; data from 2007 and 2008 on the number of institutions and relative size of their microfinance portfolios suggest an HHI score of around 2,500. (All figures for HHI calculations were supplied by Sergio Navajas and Paola A. Pedroza of the Inter-American Development Bank, IDB, in July 2009.)</t>
  </si>
  <si>
    <t>Peru's national market remains highly active and very large by regional standards, receiving an HHI value of 917 (similar to last year's HHI). (All figures for HHI calculations were supplied by Sergio Navajas and Paola A. Pedroza of the Inter-American Development Bank, IDB, in July 2009.)</t>
  </si>
  <si>
    <t>Data from MIX Market in 2007 show a highly competitive market portfolio distribution across institutions, with an HHI score of just 454. Yet the MFC estimates that microfinance is reaching only one-third of the country’s 4.3m poor families, leaving around 3m households underserved. One of the experts interviewed said that MFIs tend to concentrate on the main island of Luzon and parts of the Visayas, whereas the greatest need is in the Autonomous Region of Muslim Mindanao, the country’s poorest area and also the most unstable because of a simmering separatist movement. (MIX Market 2007; Personal interviews: June 2009; Microfinance Finance Council of the Philippines.)</t>
  </si>
  <si>
    <t>Data from 2007 show that Rwanda has an HHI score of 2,200, with no single MFI holding more than 30% of the total market portfolio. However urban centres have much higher coverage and competition than rural areas. Key players include COOPEDU-Kigali, Duterimbere, RML and Urwego Opportunity Bank of Rwanda. Banque Populaire is also a player of note, despite being hard hit by the genocide in earlier years. (Rwanda Microfinance Assessment 2005; MIX Market 2007)</t>
  </si>
  <si>
    <t>The microfinance industry is highly concentrated, with the three largest networks representing 85% of credit (data as of June 2008). Major MFIs include: CMS, followed by ACEP and UM-PAMECAS. Moreover, data from MIX Market in 2007 indicates that Senegal has an HHI score of 3,212. (MIX Market, 2007; CNC report June 2008; personal interviews: June-July 2009.)</t>
  </si>
  <si>
    <t>As of April 1st 2009 there were 12 banks, seven credit societies, one non-banking financial institution (NBFI) and 101 MFIs in Tajikistan. Despite the high number of institutions, sources report that the demand for microcredits still exceeds the supply in rural areas. A European Bank for Reconstruction and Development (EBRD) 2006 report estimates the universe of potential clients in rural areas at around 700,000 producers on household plots, 27,000 Dekhan farms, and an unknown number of rural non-farming enterprises. Until recently, banks had little motivation for providing loans, with some past history of high-risk and non-returned loans; more than 50% of the profit was coming from cash transactions and other banking operations. Now, almost all commercial banks in Tajikistan are actively offering lending services, even opening special microcredit departments. The top players took more than 86% market share altogether in 2007, in portfolio terms. These were: Agroinvestbank; IMON; and FMFB (part of the Aga Khan Development Network). Other key players included FINCA, MLF Microinvest, OXUS and MLO HUMO. MIX Market 2007 data show an HHI of almost 4,000, in large part owing to Agroinvestbank's presence. (European Bank for Reconstruction and Development, 2006; MIX Market 2007, 2008; personal interviews: June-July 2009.)</t>
  </si>
  <si>
    <t>Tanzania's HHI score for 2007 was around 2,700 according to MIX Market data. PRIDE, AKIBA and BRAC were the most prominent institutions in terms of market portfolio. Most MFI activity is concentrated in Dar es Salaam, as formalised MFIs have not penetrated the rural market deeply. Many rural poor use informal credit and savings providers. (MIX Market 2007; personal interviews: May-June 2009.)</t>
  </si>
  <si>
    <t xml:space="preserve">There is little competition in Thailand’s microfinance industry, with large state financial institutions (SFIs) dominating the market and at best offering people two product choices. Indeed, MIX Market lists only two institutions for 2007 and of these the total market portfolio of only around US$1.2m was split 97% and 3% between the SED and Common Interest. As policy-driven institutions, SFIs offer subsidised credit and often forgive loans, making it almost impossible for commercial institutions to compete with them. NGOs, while not barred outright, are not encouraged to offer credit. Since the bureaucratic practices of the SFI can make obtaining a loan difficult, much of the market for microfinance services in Thailand remains underserved. (MIX Market 2007; Personal interviews: June 2009; Microfinance Thailand.) </t>
  </si>
  <si>
    <t>According to MIX Market data, Uganda's 2007 HHI score was 5,224 and at the time Centenary Bank held 70% of the total market portfolio. As of early 2009 there are three MDIs, one credit institution, three commercial banks and a wide variety of NGOs and SACCOs providing microfinance services. However, service providers tend to operate in southern and western areas, with lower penetration rates in the north and east. (MIX Market 2007; central bank, November 2007.)</t>
  </si>
  <si>
    <t>There is limited competition in Vietnam’s microfinance industry. The VBSP utterly dominates the market, with subsidised credit offerings and nationwide reach that granted it 99% market share out of 12 institutions according to MIX 2007 data (resulting in an extremely high HHI index score of almost 10,000) .The semi-formal institutions that exist are geographically limited and mainly offer services to members of the mass organisations with which they are affiliated. Of those, only CEP (linked to Ho Chih Minh City’s Labour Federation) and TYM (linked to the Vietnamese Woman Union based in Hanoi) are sizeable. Given their different locations, they do not compete with each other, although they do both compete with the VBSP. Among the other (although much smaller) semi-formal MFIs are Thanh Hoa Microfinance programme (launched by Save the Children US), M7 (launched by Action Aid), NAPA programme (started by SNV) and the Belgium-Vietnamese Credit Project. (MIX Market 2007; PlaNet Finance 2008; Banking With the Poor Network 2009; personal interviews: June 2009; Vietnam Microfinance Working Group.)</t>
  </si>
  <si>
    <t>MIX Market data from 2007 indicate that Yemen has an HHI of 2,865, although 2008 data show that the market is quickly evolving to become more competitive and shows an HHI below 1,800. However, competition within the microfinance segment is mitigated by the fact that most MFIs operate locally, and as such are not in direct competition. Al Amal is still too small to impact their operations significantly. The state-owned Co-operative and Agriculture Credit Bank (CACB) is theoretically a source of competition for some of the rural MFIs, but in reality it is largely ineffective and its loan book is highly concentrated (and non-performing). Nevertheless, the arrival of Al Amal Bank (which is aiming for 100,000 active clients by 2013) will place growing pressure on the 12 local MFIs. In addition, Tadamon, a local Islamic bank, which already has a programme for microfinance, is considering setting up a specialised microfinance subsidiary, while BRAC of Bangladesh is also apparently planning to begin operations in the country. With the new Microfinance Law setting the scene for further expansion in the sector, several of the smaller, governorate-based MFIs have already begun to merge in preparation for the expected increase in competition, with, for example, the NMF reduced from three organisations into one (at present, it is the largest MFI in the country), and plans are in place to merge the Aden and Abyan MFIs. (CGAP diagnostic report 2005; Small &amp; Micro Enterprise Development in Yemen, Social Fund for Development 2008; personal interviews: March-June 2009.)</t>
  </si>
  <si>
    <t>No credit bureau as yet covers microfinance borrowers. The central bank is co-ordinating with the SEC and other agencies on implementing rules and regulations for the Credit Information System Act signed into law in September 2008. By including microfinance clients in the database, the law aims to increase their access to credit and address the problems of cross-borrowing. World Bank Doing Business gives the Philippines a score of 3,0 out of 6 on depth of credit information and pegs private bureau coverage at just 5.4% of adults. (World Bank, Doing Business 2009; personal interviews: June 2009; Bangko Sentral ng Pilipinas; MIX Market.)</t>
  </si>
  <si>
    <t>A private credit reference bureau is due to begin functioning late in 2009 (Compuscan was granted a three-year right to operate a credit reference bureau by the government). Rwanda’s credit information index according to the World Bank Doing Business 2009 report is a 2.0 out of 6, compared with an average of 1.4 for all of Sub-Saharan Africa. Current coverage for existing bureaus in less than 1%. (East Africa Business Week, 2nd June 2009; World Bank, Doing Business 2009.)</t>
  </si>
  <si>
    <t xml:space="preserve"> A regional credit bureau project is currently under BCEAO examination. Senegal has a Credit Information Index score of 1.0 out of a maximum of 6 in World Bank, Doing Business 2009, owing to a 4.4% coverage of the adult population by the public bureau (2009). (World Bank, Doing Business 2009; personal interviews: June-July 2009.)</t>
  </si>
  <si>
    <t>There are at the moment no effective credit bureaus in Tajikistan, which is considered one of its institutional weaknesses. The World Bank gave Tajikistan a zero score, citing the lack of effective private or public credit bureaus. This compares negatively with a regional average score of 4.1. The IFC is working with authorities and the private sector to establish a private credit bureau in Tajikistan. A law on credit histories that creates a relevant legislative environment for such establishments was drafted and lobbied to successful adoption in March 2009 with IFC support. (World Bank Doing Business, 2009; personal interviews: June-July 2009.)</t>
  </si>
  <si>
    <t>The Microfinance Act 2004 requires that banks, non-bank financial institutions (NBFIs) and MFIs report to credit bureau. However, currently there are no functioning credit bureaus in Tanzania. Tanzania received a score of zero for the Credit Information Index in World Bank, Doing Business 2009. (CGAP Paper 2005; World Bank, Doing Business 2009.)</t>
  </si>
  <si>
    <t xml:space="preserve">Thailand has one centralised credit bureau system, called the National Credit Bureau, covering credit information from retail borrowers to SMEs and corporates. Coverage is wide: at least two years of historical credit information, both positive and negative, is available on around 32m individuals and companies. Borrowers are permitted by law to inspect their data, and the bureau is open to commercial banks and finance companies. Data are also available on small loans (loans less than 1% of per capita income). However, NGOs report difficulty in accessing the bureau. The World Bank’s Doing Business project gives Thailand a score of 5.0 (out of 6) on its Credit Information Index, compared with an average score for the Asia-Pacific region of 2.0. (Personal interviews: June 2009; Microfinance Gateway; World Bank, Doing Business 2009.) </t>
  </si>
  <si>
    <t>There is one private bureau, TransUnion, which bought out the bureau formally run by and for the banks. Only some institutions active in microfinance use these data or report data, which are geared toward consumer finance and higher income levels and provide both positive and negative data. There is no public registry. World Bank Doing Business 2009 gives Trinidad and Tobago a 4.0 out of 6.0 on its Credit Information Index, compared with a regional average of 3.3. The private bureau covers 36.6% of the adult population, as compared to a regional average of 33.1%. (World Bank Doing Business; Personal interviews: June 2009.)</t>
  </si>
  <si>
    <t xml:space="preserve">There are sophisticated credit bureaus used by banks, but not MFIs. Turkey received a score of 5.0 out of 10 on World Bank's Credit Information Index compared to a regional average of 4.1. According to the World Bank, the private credit bureau coverage is 26.3% of adult population and has more than 2 years of historical credit information, but no credit information from retailers of utility companies. (Microfinance Centre for CEE &amp; NIS, May 2003; World Bank Doing Business 2009; personal interviews: June-July 2009.) </t>
  </si>
  <si>
    <t>The BoU recently approved a licence for Compuscan, a private credit bureau offering credit information services. This is a new initiative and according to the World Bank’s Doing Business 2009, Uganda scores 0.0 out of 6 on credit information. The country’s legal framework mandates the use of credit bureaus by Tier 1-3 institutions, but compliance has not been enforced. (CGAP; World Bank Doing Business 2009.)</t>
  </si>
  <si>
    <t>At present, there are no credit bureaus, and the country's sole commercially-run MFI, Al Amal Bank, does its own credit assessments. However, the Central Bank has set up a working unit dedicated to developing a credit bureau, with assistance from a German technical development agency, GTZ. Meanwhile, some MFIs offer lending to groups of women, rather than individuals, and each woman effectively acts as a guarantor to the others. This approach has apparently enjoyed considerable success. The main commercial banks tend to only loan to a small circle of well-connected figures, while aspiring lenders can apparently hire a loan officer, who acts as an advocate, to forward their case to banks. The World Bank assigns a score of 0.0 out of a possible 6 to Yemen in its Credit Information Index, and reports that public bureau coverage amounts to 0.1% of the adult population, and private registries cover 0%. The regional score is 2.9. (World Bank Doing Business 2009; personal interviews: March-June 2009.)</t>
  </si>
  <si>
    <t>MIX Market data from 2007 shows that Azerbaijan has an HHI of around 2,300. Banks are the main source of competition for MFIs; ten of the country’s 46 banks are actively engaged in microlending. Among these are Azerdemiyrolbank and Access Bank. Banks have a lower cost structure and are generally able to set lower interest rates, but their outreach is not as extensive as that of MFIs. FINCA Azerbaijan, with more than 83,000 customers, is the dominant MFI institution; it is the only player that operates nationally. Its nearest rivals are Azercredit LLC, Normicro (Norwegian Microcredit LLC), and Agrarcredit. (MIX Market 2007, 2008; World Bank, MIX Market Report, November 2008; CGAP March, 2009; personal interviews: June-July 2009.)</t>
  </si>
  <si>
    <t>Banks must undergo external ratings and audits. External audits occasionally occur among credit unions and non-bank financial institutions, but are not required, and ratings are not required or common. NGOs are seldom rated (though the two non-regulated Chilean MFIs listed on MIX Market 2008 are), but some may undergo audits as a form of self-regulation or under pressure from funders. Detailed disclosure of effective interest rates is required of all institutions engaged in lending, although in the case of NGOs it is enforced only in response to specific complaints about non-compliance with interest rate caps. (Personal interviews: August 2008, January 2009; MIX Market 2008.)</t>
  </si>
  <si>
    <t xml:space="preserve">MCCs’ auditing requirements vary by province. VBs are more strictly supervised by the CBRC. However, since neither are publicly owned, report their accounts publicly, or are required to use internationally accepted accounting standards, they do not submit themselves to external audits. Nor have they been rated, since international investors are in practice barred from contributing funds and the incentive for rating is consequently removed. (Foreign investors must, in principle, have total assets in excess of US$1bn and a capital adequacy ratio of 10%, which no specialised microfinance investment fund can meet.) Also, MCCs and VBs are by law prevented from operating outside the location in which they are registered, severely limiting their growth potential and attractiveness to investors. (World Bank 2009; personal interviews: July 2009.) </t>
  </si>
  <si>
    <t>The Superintendency requires regulated institutions to publish annual audited financial statements; some are externally rated, although this is not a legal requirement. Some non-regulated institutions, while under no legal requirement, conduct external audits so that they can be eligible for bank loans, receive socially responsible investment, and for other motives. Fewer than half of the 17 Colombian institutions listed on MIX Market are externally rated; regulated institutions are no more likely to be rated than non-regulated ones based on these data. Disclosure of effective interest rates is required of regulated institutions only. The degree to which non-regulated MFIs disclose effective rates varies in practice. (Personal interviews: August 2008, May 2009; Microfinance Gateway; MIX Market.)</t>
  </si>
  <si>
    <t>Annual external audits are required for banks and other regulated financial institutions; ratings are not required, and only one of the four institutions listed in MIX Market is rated (compared with one of five listed in 2007). Regulated institutions must publish financial statements in the media and must also display interest rates, expenses and commissions applied to different transactions and the price of their financial services in all offices. NGOs do not face these requirements, and their practices on interest rate disclosure and external ratings and audits vary more widely and depend largely on the strength of self-regulation and pressures from funders. (Personal interviews: August 2007, August 2008; Microfinance Gateway.)</t>
  </si>
  <si>
    <t>External audits and ratings on an annual basis are required for regulated institutions. Some NGOs are "self-regulating”, under such organisations providing technical services as the Red Financiera Rural (RFR, Rural Financing Network). Such NGOs undergo external audits and in some cases external ratings, yet a majority of the MFIs listed in MIX Market do not undergo ratings; the same is true of credit unions. Last year, the Superintendency approved a specialised microfinance ratings agency for operations in the country, which should assist non-regulated institutions wishing to take this step. Disclosure of effective interest rates is strictly regulated for supervised institutions, but not for non-regulated ones, whose practices vary. (Microfinanza, July 2006; personal interviews: August 2008, May 2009.)</t>
  </si>
  <si>
    <t>Ecuador's microfinance environment remains competitive, with an HHI score of 1,227 for 2008. This represents a consolidation since 2007, when the HHI was just 629. The number of institutions providing microfinance is high, and the market is large by regional standards. (All figures for HHI calculations were supplied by Sergio Navajas and Paola A. Pedroza of the Inter-American Development Bank, IDB, in July 2009.)</t>
  </si>
  <si>
    <t>Qualitative assessments from last year set El Salvador's market environment at a fairly competitive score of 2.0, slightly behind Nicaragua; data for 2008 show that the current situation remains competitive, with an HHI value of 1,674. (All figures for HHI calculations were supplied by Sergio Navajas and Paola A. Pedroza of the Inter-American Development Bank, IDB, in July 2009.)</t>
  </si>
  <si>
    <t>Guatemala has an HHI score of 907 for 2008, maintaining a high level of competition after market players changed significantly from 2007 to 2008. However, Banrural did not report to MIX this year, and accounts for an important market share. It is in second place after G &amp; T Continental, which has about 20% market share. (All figures for HHI calculations were supplied by Sergio Navajas and Paola A. Pedroza of the Inter-American Development Bank, IDB, in July 2009.)</t>
  </si>
  <si>
    <t>Although the HHI index of 2,015 implies a moderately more competitive market than last year, the small total microfinance portfolio size and fragmented market composition indicate that the environment is uncompetitive. (All figures for HHI calculations were supplied by Sergio Navajas and Paola A. Pedroza of the Inter-American Development Bank, IDB, in July 2009.)</t>
  </si>
  <si>
    <t>Honduras exhibits a reasonably competitive environment, in keeping with its evaluation last year. Its score has improved this year, to an HHI of 920. Numerous institutions provide microfinance services, and the market size is roughly equal to that of El Salvador, another fairly competitive environment. (All figures for HHI calculations were supplied by Sergio Navajas and Paola A. Pedroza of the Inter-American Development Bank, IDB, in July 2009.)</t>
  </si>
  <si>
    <t xml:space="preserve">With more than 3.5m borrowers, a gross loan portfolio of US$3.5bn and a presence in almost all towns and villages in Indonesia, the state-owned Bank Rakyat is a behemoth. Indeed, 2007 MIX Market data show that Indonesia has an HHI Index of 9,500 with BRI taking almost 98% market share. Nevertheless, BPRs and co-operatives are often more embedded in the local community and so are able to survive. Hundreds of microfinance providers are located on the islands of Java and Bali, but demand so far outstrips supply. Among the largest players besides Bank Rakyat are BPR Surya Yudha Kencana in central Java, the downmarket subsidiaries of Danamon and BPTN, MBK, Bank Dian Mandiri, based in Banten, and BPR BKK Cilacap in west Java. Some of the leading NGOs are Yayasan Dharma Bhakti Parasahabat (YDBP) and Yayasan Mitra Usaha (YMU). (MIX Market 2007; PlaNet Finance 2008; Banking With the Poor Network 2009; personal interviews: June 2009; Permodalan Nasional Madani.) </t>
  </si>
  <si>
    <t>A public registry, operated via the SBIF, is open to all institutions without cost, yet tends to cover only transactions with regulated institutions and provide information only on borrowers' total indebtedness. In private bureaus, only negative information (for example, about arrears or defaults) tends to be available. It typically takes 2-3 working days to receive information. The World Bank's Doing Business (2009) gives Chile a 5.0 out of 6.0 on its Credit Information Index, compared with a regional average of 3.4 and an OECD average of 4.8. Coverage continues to improve: the public registry covers 28.1% of adults (up from 26.2% and compared with 8.7% for the region as a whole) and private bureaus 34.5% (up from 33.5% and compared to 33.1% in the region). There is currently a draft proposal for a law that would require the public registry to also provide disaggregated positive information about borrowers' credit history. (Padilla and Gillet, 2001; personal interviews: August 2008, June 2009.)</t>
  </si>
  <si>
    <t>Although there is no public registry, there are two private credit bureaus that track both individuals and firms. Positive and negative data are distributed, and the bureaus collect credit information from financial institutions, as well as retailers and utility providers. From 2008 the government began for the first time to regulate the activities of private credit bureaus, providing them with a clearer legal framework that seeks to balance privacy concerns and data accessibility. However, despite this increased oversight, it is not clear that a sufficient number of the country's numerous NGOs report complete information on their clients. Industry informants indicate that low participation from these institutions is likely to be one of the key factors contributing to high cross-lending risk and high default rates. World Bank Doing Business 2009 gives Colombia a 5.0 out of a maximum 6 on its Credit Information Index, compared with a regional average of 3.3 and an OECD average of 4.8. Private bureau coverage is 42.5% of adults (compared with 29.9% in 2008 and a regional average of 33.1%). (Personal interviews: August 2008, May 2009; World Bank Doing Business 2009; Microfinance Gateway.)</t>
  </si>
  <si>
    <t>Currently, there are no functioning credit bureaus, and the country has received a score of 0 in the “Getting Credit” for the credit information index for World Bank Doing Business 2009. Additionally, the legal system is very weak and prone to significant corruption. (World Bank, Doing Business, 2009.)</t>
  </si>
  <si>
    <t>Credit bureaus, both public and private, are well developed and regulated. MFI informants also indicate that MFIs have access to and use these bureaus. Ecuador has a Credit Information Index score of 5.0 out of a maximum of 6 in World Bank Doing Business 2009, which compares favourably with a regional average of 3.3 and a 4.8 OECD average. The public registry covers 37.7% of the adult population (down slightly from 37.9% in 2008), and private bureaus cover 46.8% (up from 44.1%). (Personal interviews: August 2008, May 2009; World Bank Doing Business 2009.)</t>
  </si>
  <si>
    <t>There are two private bureaus, one of which is specialised in microfinance and a second of which has expanded in that area. They provide both positive and negative information, although information-sharing across the divide of regulated and non-regulated institutions is not good. An additional private bureau is also preparing to enter the market. There is also a public registry operated by the Superintendency, though it tends not to cover transactions by and with small and micro-businesses, and non-regulated institutions do not have access to it. Measuring the extent of information available, World Bank Doing Business 2009 gives El Salvador a maximum 6.0 out of 6 on its Credit Information Index, compared with a regional average of 3.3 and an OECD average of 4.8. It reports that 18.4% of adults (up from 17.2%) are covered by the public registry, compared with a regional average of 8.7%, and that private bureaus cover 83.0% of the adult population (up from 74.6%, and as compared with a regional average of 33.1%). (Personal interviews: August 2008, May-June 2009; World Bank, Doing Business 2009.)</t>
  </si>
  <si>
    <t xml:space="preserve">Ethiopia received 2.0 out of 6 in World Bank, Doing Business 2009 under the “Getting Credit” score for credit information index, as compared with a 1.4 for Sub-Saharan Africa as a whole. It achieves this score despite the low public bureau coverage of less than 1% of the adult population. However, at present there is no legal provision for a required credit bureau for MFIs and there is no such functioning credit bureau. (World Bank, Doing Business 2009.)
</t>
  </si>
  <si>
    <t xml:space="preserve">Jamaica has a Credit Information Index score of 0.0 out of a maximum of 6.0 in World Bank Doing Business 2009, compared with a regional average of 3.3. The public registry is virtually non-existent, as it does not have any adult population data; this is also the case with private bureaus (which also exist in theory, but are not used in practice). </t>
  </si>
  <si>
    <t>There is now at least one private credit bureau operating in Kenya as a result of a new Credit Reference Bureau regulation formally pronounced by Kenya's Minister of Finance in July 2008. These provide services to commercial banks and large financial institutions. CBK has recently mandated that Kenyan banks use the credit bureau, but has yet to implement the use of credit bureaus among MFIs. Kenya has a Credit Information Index rating of 4.0 out of a possible 10, as compared to 1.4 for the region, and 6.8 for OECD countries. This is owing to a reported 2.1% coverage of the adult population by private bureaus. (Personal interviews: May-July 2009; East Africa Standard web edition, 16th July 2009; World Bank Doing Business 2009; Quest Holdings website.)</t>
  </si>
  <si>
    <t>A credit bureau does exist, but is not widely used. Risk management among smaller MFIs is poor, according to CGAP experts. There is also a lot of related party lending. Larger MFIs, however, follow best international practice. In 2003 the credit bureau Ishenim was established with the support of EuropeAid, and does cater to MFIs, as well as commercial bank information. Both positive and negative information is collected. The Kyrgyz Republic received a score of 5.0 out of a possible 6 in the World Bank's Credit Information Index, compared with a regional average of 4.1. (Personal Interviews: June-July 2009; Ishenim website ; World Bank, Doing Business 2009.)</t>
  </si>
  <si>
    <t>Lebanon scores 5.0 out of a possible 6 on the World Bank's Credit Information Index; however, its public registry only covers 6.8% of adults and there are not currently any private credit bureaus. The IFC has been stimulating discussion among the banking community, including a roundtable focused on small business credit, regarding the establishment of private credit bureaus, as part of its Global Credit Bureaus Programme and regional Private Enterprises Partnership Programme. For most microcredit, however, individual character checks and group-lending solidarity guarantees provide reassurance to the MFIs in the absence of information from credit bureaus. (World Bank, Doing Business 2009; personal interviews: May-June 2009.)</t>
  </si>
  <si>
    <t>A former public registry covering mostly middle-to-upper-income Mexicans no longer operates, although there is a private bureau that works with larger MFIs and banks have their own bureau; both report positive as well as negative information. Smaller MFIs rely upon their own joint bureau, Circulo de Crédito, although many MFIs are reluctant to report information on their clients; such reporting is not legally required, although second-tier funders make it a condition of on-lending. One pending initiative would merge the reporting of the two institutions. Of the two major regions where MFIs operate most frequently, the quality of credit information is much greater in central than in southern Mexico. One of the aspects of the legislation for financial consumer protection under consideration as of June 2009 is strengthening of use of credit bureaus for credit scoring to determine interest rates for individual borrowers. Mexico scores 6 out of 6 on the World Bank Doing Business 2009 Credit Information Index, compared with a regional average of 3.3. The study reports that private bureau coverage is 70.8% of adults, up from 61.2% in 2008 and compared with a regional average of 33.1%. (Personal interviews: August 2008, May 2009.)</t>
  </si>
  <si>
    <t xml:space="preserve">No private registry exists, but there is a public registry. Two years of historical credit information, both positive and negative, is available on 22.7% of the adult population. However, data are not available on small loans (loans less than 1% of per capita income), so the credit bureau is not effective for microfinance lenders. Furthermore, the data do not include credit information from retailers, trade creditors or utility companies, and it is not guaranteed by law that borrowers can inspect their data. These deficiencies hinder the public registry's reliability and effectiveness. The World Bank’s Doing Business project gives Mongolia a score of 3.0 out of 6 on its Credit Information Index, compared with an average score for the Asia-Pacific region of 2.0. (Personal interviews: June 2009; Microfinance Gateway; World Bank.) </t>
  </si>
  <si>
    <t>Although there is a public credit bureau in Morocco, the lack of good credit information on borrowers has been a major obstacle and caused a recent surge in portfolios at risk, in large part owing to the difficulty of preventing cross-lending. Until now, there were no private credit bureaus in the country, neither for banks nor for MFIs. In early 2009 the central bank awarded a mission to Experian Maroc international to create a private bureau for the entire financial sector. All banks, non-banking financial institutions (NBFIs) and MFIs are mandated to provide data every month. The credit bureau is not yet functional, but institutions are expected to provide full data reporting to the bureau through the central bank by October 2009. Morocco has a Credit Information Index score of 2.0 out of a maximum of 6 on World Bank Doing Business 2009. The public bureau covers around 2.4% of the adult population. (Personal interviews: May-June 2009; World Bank Doing Business 2009; central bank website.)</t>
  </si>
  <si>
    <t>There is a public registry, as well as two private credit bureaus. NGOs have their own for-profit bureau (originally set up by ASOMIF) that provides both positive and negative information from NGOs, regulated institutions, and some credit cards. The quality and breadth of credit information is improving, although there continue to be some problems in the integration of data from public and private bureaus. Nicaragua has a Credit Information Index score of 5.0 out of a maximum of 6 in the World Bank Doing Business report in 2009, which compares with a regional average of 4.8. According to the same source, the public registry covers 13.4% of the adult population (down from 14.8% in 2008), and private bureaus continue to cover the entire adult population, as compared with a 33.1% regional average. (Personal interviews: August 2008, June 2009; World Bank Doing Business 2009.)</t>
  </si>
  <si>
    <t>The range of services, while it has grown somewhat, remains limited. A few institutions offer life and/or medical insurance or savings or fund transfer, but the majority offer only one product, traditionally credit. Co-operatives and banks are able to offer more services than NGOs. (MIX Market; personal interviews: May 2009, August 2008.)</t>
  </si>
  <si>
    <t xml:space="preserve">Of the six Haitian MFIs listed in MIX Market 2008, three non-regulated institutions offer only microcredit. Three institutions offer "voluntary savings" as well (restricted to those who also have loans or other transactions with the institution) and one of the three also offers fund transfers/remittances. At least one (FONKOZE) offers microinsurance as a type of investment account, although new initiatives to offer this are now in underway at some other institutions. Many credit unions often offer a reasonably wide array of services. (Personal interviews: August 2008; May 2009; MIX Market.) </t>
  </si>
  <si>
    <t xml:space="preserve">BRI’s Unit Desa offices offer savings, as well as credit. While BPRs do mobilise savings, in practice they have not emphasised it, preferring to source wholesale funds from commercial banks instead. This may change as the global financial crisis has made the providers of wholesale funds more cautious. Some MFIs also offer insurance and there are pilot tests in place for health insurance. BPRs cannot provide remittance services, because by law they are not linked to the payments system. (Personal interviews: June 2009; MIX Market.) </t>
  </si>
  <si>
    <t>There is a limited range of services on the part of most MFIs, primarily restricted to microcredit. However, credit unions offer a wider variety of services, including savings and fund transfers/remittances. (Personals interviews: August 2008, May 2009; MIX Market.)</t>
  </si>
  <si>
    <t>Microfinance services are mainly focused on savings and credit products, although a variety of other services, such as funds transfers and insurance are also offered. Mobile banking services through cellular phone providers have become increasingly popular, although these are provided mainly through deals with commercial banks operating in microfinance. Insurance products are heavily regulated and require an additional licence, and few MFIs listed on MIX Market offer insurance. There are also a number of credit products that address special activities and needs, such as agricultural loans or education loans. (Personal interviews: May-July 2009; MIX Market.)</t>
  </si>
  <si>
    <t>MFIs can offer a wide range of products, including insurance, transfers, savings and deposits, but most offer a limited range of services, despite this legal freedom, focusing on loan products. For instance, Kompanion, the second-largest MFI by number of customers, offers group solidarity microloans for business development, individual loans for business development, unsecured loans for clients with excellent credit history, mortgages and education loans. (MIX Market 2007, 2008; CGAP report, 2009; personal interviews: June-July 2009.)</t>
  </si>
  <si>
    <t>MFIs do not generally offer services beyond microcredit, although the mainstream banking sector is able to support micro-savings. Ameen offers micro-insurances through bank partners. Some MFIs offer advice on business development and other training. (Personal interviews: May-June 2009; MIX Market 2008.)</t>
  </si>
  <si>
    <t>The range of services is modest at most MFIs, with savings accounts offered by many regulated and a few non-regulated institutions as the main activity other than microcredit. Only a minority of the 33 MFIs listed on MIX Market offer a service or services other than microcredit (usually savings, insurance and/or funds transfer).  (Personal interviews: August 2008, May 2009.)</t>
  </si>
  <si>
    <t xml:space="preserve">The range of services offered by microfinance providers varies by institution type. Commercial banks offer credit, deposits and payments services. NBFIs offer credit, payments and remittances, but cannot take deposits. Co-operatives can offer savings and credit services, but only to their members. Insurance services can be legally offered only through a separate company, requiring a financial institution to transform into a holding company. No institution in Mongolia has attempted this to date. (MIX Market; personal interviews: June 2009.) </t>
  </si>
  <si>
    <t xml:space="preserve">RRDBs typically offer few services beyond microcredit, despite the fact that they do collect compulsory deposits when lending to groups. Although they are legally authorised to collect savings, they rarely do because the compulsory savings provide an adequate level of funding to them. Some RRDBs provide remittance-transfer services to the clients in partnership with commercial banks.
Some MCDBs also offer insurance products to their members, even though they are not legally allowed to do so. To circumvent the law, they offer in-house “protection schemes”, which are not based on actuarial analysis and are not reinsured, raising the risk that claims will outstrip premiums paid. (PlaNet Finance 2008; Banking With the Poor Network 2009; personal interviews: June 2009; MIX Market; Centre for Microfinance.) 
</t>
  </si>
  <si>
    <t>Some large regulated institutions offer a wide range of services (savings, certificates of deposit, remittances, payment services, etc). The numerous, but small, NGOs increasingly offer some services beyond microcredit (at least among those listed in MIX Market), such as fund transfer, insurance, or a limited form of "voluntary savings" for those who have loans or other transactions with these institutions. NBFIs offer fund transfers and in some cases savings and/or insurance. Credit unions take deposits and make loans, but only for their members. These transactions are not always restricted to a firm size or income level that could be readily classified as microfinance; some also handle remittances/fund transfers. (Personal interviews: August 2008, June 2009; MIX Market.)</t>
  </si>
  <si>
    <t>Given the relative late development of the industry, most MFBs and NGOs offer only savings and credit services. (MIX market 2008; personal interviews: June-July 2009.)</t>
  </si>
  <si>
    <t>MFIs offer a limited range of additional services, varying by institution and institution type. All but the NGO-based institutions offer savings accounts, while some finance companies and banks tend to also offer fund transfer/remittances. NGOs tend to be limited to microcredit. Insurance is generally not offered by MFIs. (Personal interviews: August 2008, June 2009; MIX Market.)</t>
  </si>
  <si>
    <t>Regulated institutions have innovated in providing savings, checking, ATM, fund transfer, insurance, and other services. CRACs and CMACs offer both savings and microcredit and funds transfers. EDPYMEs, although not allowed to take deposits, should be able to provide a wider range of services, owing to a June 2008 decree expanding their access to capital markets. CMACs and CRACs will also have expanded access to capital markets and will be able to offer more services under this decree. Non-regulated institutions are more restricted in the services they can legally and practically offer, typically being limited to microcredit. (Ebentreich, 2005; personal interviews: August 2007, August 2008, June 2009; Microfinance Gateway; MIX Market.)</t>
  </si>
  <si>
    <t>All the 72 Philippine MFIs listed in MIX Market offer loans. Banks and co-operatives also offer savings products. NGOs often accept client funds in the form of forced savings or compensating balances in exchange for loans, but such mobilisation of savings technically requires that they transform into a regulated institution. MFIs are permitted to accept small-sum remittances. The BSP is reviewing new policy initiatives to further develop microfinance provision, including microinsurance, branchless banking, and the use of electronic money platforms and mobile phone technology for making loan payments, deposits and withdrawals. (CGAP, National Credit Council &amp; Bangko Sentral ng Pilipinas, 2006; Microfinance Gateway Highlights 2008; Personal interviews: June 2009; Bangko Sentral ng Pilipinas; Co-operative Development Authority; MIX Market.)</t>
  </si>
  <si>
    <t>Transparency standards are fairly high and largely self-enforced. Around half of MFIs disclose their effective interest rates. The Word Bank's Disclosure Index assigns Azerbaijan a score of 7, ahead of Armenia, but behind Kyrgyzstan. Seven of 14 MFIs on the MIX Market received five diamonds (the top score) for their level of information disclosure. By law, all banks are required to undergo annual external audit and to submit the auditor’s report to the central bank; the central bank may also call for onsite supervision if deemed necessary. (MIX Market 2007, 2008; MIX Market, November 2008; Personal interviews: June-July 2009; World Bank Doing Business, 2009.)</t>
  </si>
  <si>
    <t>Levels of disclosure and conduct of external audits vary among NGOs, although that is expected to change when the MRA gets around to issuing guidelines and ensuring compliance with them. In 2008 a ratings agency, M-CRIL, provided ratings for two institutions. Of the 70 Bangladeshi MFIs listed in MIX Market, 6% were awarded the top rating of five diamonds for level of information disclosure, while 23% got the second highest score of four diamonds. Grameen Bank issues monthly financial updates, audited financial statements and fairly detailed annual reports. It also routinely discloses the flat rate and effective rate of its lending, which ranges from 0% for beggars to 20% for income-generating loans. (Personal interviews: June 2009; Grameen Bank; MIX Market.)</t>
  </si>
  <si>
    <t>All regulated institutions are legally required to be externally rated and audited, while many NGOs are similarly scrutinised as a matter of practice. Effective interest rates could be more widely disseminated, however. Under the Law on Banks, reporting and disclosure requirements for regulated institutions are high, and graduated by type of institution. Banks, FFPs, mutual benefit societies, and open co-operatives/credit unions must all submit annual financial statements with an external auditor's report to ASFI; they must publish financial statements twice a year in nationwide newspapers; and internal auditors must disclose any non-compliance with standards or legal provisions to shareholders, partners, associates, and the ASFI. FFPs and open co-operatives/credit unions must also provide more detailed and timely information: monthly portfolio recovery statistics; portfolio classification; anticipated payments; pending accounts; costs to recover; assets and liabilities; deferred charges; items pending charges; obligations with financial entities; and subordinated obligations. As regulated MFIs, FFPs, open co-operatives and mutual benefits societies must each submit around 500 statements annually to the ASFI. For non-regulated MFIs, legal requirements are weaker. Closed co-operatives/credit unions must provide members with access to designated financial information updated every three months, while NGOs must report, as part of their registration renewal, every three years on loan portfolio (current, late and lost), with respect to region, branch, target population and credit methodology, as well as financing, goals and objectives for past and future projects. The majority of the 23 MFIs listed in MIX Market are externally rated. (Personal interviews: August 2008, May 2009; Microfinance Gateway.)</t>
  </si>
  <si>
    <t>According to a 2009 MIX and CGAP report, Bosnian MFIs are among the most transparent in the region. They continually win recognition and awards owing to their high level of transparency and financial reporting. Out of 20 institutions awarded the CGAP Financial Transparency Awards in 2006 worldwide, five microcredit organisations come from BiH. All MFIs are required by law to get externally rated and to disclose effective interest rates to their clients. Ten out of 13 MFIs listed on the MIX database received five diamonds for level of information disclosure. (MIX Market 2007, 2008; MIX Market report, 2008; World Bank, December 2008; MIX &amp; CGAP, March 2009; personal interviews: June-July 2009.)</t>
  </si>
  <si>
    <t>External audits are required on a regular basis for all regulated institutions (although the Central Bank does not disclose arrears), except SCMs, which do not face that requirement and undertakes it only sporadically. The structure of external ratings for MFIs is not well developed in Brazil, and relatively few institutions undertake them. Although the number of MFIs listed on MIX Market grew from 10 to 25, the same five were rated in 2008 and 2007. Effective interest rate disclosure is required for regulated institutions, although the Central Bank does not separate out rates charged for microfinance. Non-regulated institutions are not required to disclose effective rates, but are subject to usury laws, and their disclosure practices vary. (Meagher et al, 2006; personal interviews: July 2008, May 2009; Microfinance Gateway.)</t>
  </si>
  <si>
    <t>Credit bureau formation is in its early stages. There is no private credit bureau, and MFIs do not share credit information among themselves. There is a public credit registry, which has more than two years of credit history, but it does not distribute credit information from retailers, trade creditors or utility companies. The World Bank assigned Azerbaijan a score of 5.0 in its Credit Information Index (on a scale of 0.0-6.0, where a higher score indicates greater availability of credit information). The regional average is 4.1. (Personal interviews: June-July 2009; World Bank, Doing Business, 2009.)</t>
  </si>
  <si>
    <t>No credit bureau covers microfinance borrowers. MFIs rely on group lending, peer monitoring and staff follow-up to ensure high loan recovery rates, which are typically reported at 90% and higher. World Bank Doing Business 2009 gives Bangladesh a score of 2.0 out of 6 on depth of credit information. Public registry coverage is at 0.9% of adults and private bureau coverage is zero. One of the experts interviewed reckons that many borrowers (estimates range from 10% to 50%) borrow from more than one MFI. A study carried out by the Bangladesh Institute of Development Studies (BIDS) found that around 15% of microfinance member households have multiple MFI membership. (Personal interviews: May 2009; World Bank, Doing Business, 2009.)</t>
  </si>
  <si>
    <t>Since the debt crisis of 1998-2001, the ASFI has issued regulations for opening private credit bureaus to allow regulated MFIs access to credit information provided by unregulated MFIs, and vice versa. Also, private bureaus now share information with the central public registry. Clear regulatory distinctions have been drawn since 1999 between microcredit and consumer lending (which is based on formal wages as the basis for credit and repayment, longer tolerance for arrears and garnishing of wages for default). There also continues to be some use of informal credit bureaus, information vendors and blacklists, although much less so with the increased prominence of private bureaus and increasing quality of data on prospective borrowers. World Bank, Doing Business 2009 gives Bolivia a 6 out of a possible 6.0 on its Credit Information Index, compared with a 3.3 regional average and a 4.8 OECD average; the public registry covers 11.9% of adults (up from 11.5% last year), while private bureaus cover 29.7% (down from 32.3%, and compared with a 33.1% regional average). (De Janvry et al, 2003; Asociación de Entidades Financieras Especializadas en Micro Finanzas de Bolivia, ASOFIN, 2006; personal interviews: August 2007, August 2008; World Bank, Doing Business, 2009.)</t>
  </si>
  <si>
    <t>Credit bureau coverage is said to be wide, but insufficiently effective. It is possible for the same person to take out several loans with several MFIs because banks do not want to share their client information. Owing to these low reporting standards and weak practices, MFIs are generally not inclined to use bureaus. According to the World Bank credit index, the private credit bureau covers 70% of all adults. Bosnia received a score of 5.0 in its credit information index, compared with a regional average of 4.1. (Personal interviews: May-June 2009, June-July 2009; World Bank Doing Business, 2009.)</t>
  </si>
  <si>
    <t>The public and private bureaus generally do not cover microfinancial and other transactions by the lowest-income borrowers, and only regulated institutions have access to the public registry. The public registry is effectively useless for most institutions for microfinance per se, as its data are restricted to transactions above R5,000 (around US$2,530); under that amount, only aggregated data need be reported by MFIs, although it is both positive and negative), non-regulated institutions do not report, and reporting by regulated institutions is sporadic. In private bureaus, on which MFIs (mostly the larger institutions) must rely more, coverage is growing significantly. The law has not yet approved for the provision of disaggregated positive data, however. The World Bank's Doing Business (2009) gives Brazil a 5.0 out of 6.0 score on its Credit Information Index (the same as a year earlier), compared with a regional average of 3.3. The study reports that 20.2% of adults are covered by the public registry (up from 17.1% of adults in 2008 and compared to an 8.7% regional average), and 62.2% by private bureaus (up significantly from 46.5% by private bureaus and compared with a regional average of 33.1%). (Personal interviews: July-August 2008, May 2009; World Bank, Doing Business, 2009)</t>
  </si>
  <si>
    <t>Larger NGOs and MFIs are providing audited financial statements on MIX Market; however, transparency in the banking and financial services sector as a whole is very low. Only one of the Nigerian MFIs on MIX Market for 2008 underwent an external rating by MicroRate. With regard to the cost of borrowing, there are additional fees, including monthly management fees, repayment fees, etc. MFIs are not required to publish effective interest rates. Nigeria scored 0.58 (out of 1) in the World Bank’s Transparency and Consumer Protection index, which measures the public availability of information published by the central bank on fees and charges levied on transactions by commercial banks and the disclosure of interest rates and charges to customers. This is above the regional Africa average of 0.33. (World Bank, Banking the Poor 2009; Financial Standards Foundation; MIX Market; Reuters.)</t>
  </si>
  <si>
    <t>Of the five MFIs covered by MIX Market 2008, only two are externally rated. In regulated institutions, external audits (but not ratings) and disclosure of effective rates are standard and mandatory. Among NGOs and credit unions, there are no legal requirements, practices vary and disclosure is typically weaker. (MIX Market; Personal interviews: August 2008, June 2009.)</t>
  </si>
  <si>
    <t>Regulated institutions are required to disclose effective interest rates on a frequent basis via the Internet; non-regulated institutions sometimes do not do so in practice (and face no legal obligation), since they face interest-rate ceilings and sometimes compensate with hidden fees. Regulated institutions must publish a balance-sheet summary in El Peruano, the official state newspaper, each year, although those with total assets of fewer than 91 tax units may submit unaudited accounts. Disclosure requirements are much more stringent for publicly quoted companies (such as banks and finance companies), which must submit audited accounts annually and unaudited accounts quarterly to the CONASEV. External ratings are required of other regulated institutions (EDPYMEs, CRACs, and CMACs) on an annual basis from 2010 (as is now true of banks), under the presidential decree of June 2008. NGOs have varying practices, with pressures for self-regulation coming from voluntary associations and from international funders. Around half of all MFIs listed in MIX Market are externally rated. (De Janvry et al, 2003; Ebentreich, 2005; personal interviews: August 2007, August 2008; Economist Intelligence Unit, Country Commerce, June 2008; Rosales, ICC, August 2008; Microfinance Gateway; MIX Market.)</t>
  </si>
  <si>
    <t>The central bank requires all banks to disclose effective interest rates and to be audited by an external auditor that satisfies the qualification criteria it has set out. It is rare for a microfinance-oriented bank and a rural bank or thrift bank with microfinance operations to be externally rated, unless it has issued commercial paper or bonds. NGOs and co-operatives do not routinely disclose effective interest rates, nor do they receive external ratings. They are expected to be audited externally, but this may not always be the case, because of lax regulation. Of the 72 Philippine MFIs listed in MIX Market, only 4% were awarded the top rating of five diamonds for level of information-disclosure, although an impressive 51% got the second-highest score of four diamonds. (Personal interviews: June 2009; Bangko Sentral ng Pilipinas; MIX Market.)</t>
  </si>
  <si>
    <t>The four major networks and the commercial MFI conduct regular external audits and ratings. Most other MFIs rarely or never engage in such practices. Effective interest rates are not disclosed, but are calculated by the central bank for major networks. By law, the effective rate must be lower than 27%, but supervisory authorities seem to be tolerant of overruns. (Decret de réglementation; personal interviews: June-July 2009.)</t>
  </si>
  <si>
    <t>Only regulated institutions (or those that are part of larger regulated institutions) face a requirement to publish effective rates. Among non-regulated institutions, practices vary. Regular external audits are required of regulated institutions; as a non-regulated, but monitored institution, Microfin has been externally audited. NGOs must submit externally audited financial statements. External ratings are not common or required among institutions engaging in microfinance. No Trinidadian MFIs are currently listed in MIX Market. (Personal interviews: June 2009.)</t>
  </si>
  <si>
    <t>As a mature and advanced segment with only few established players, MFIs are highly transparent. They report on a weekly basis online. MAYA, which is listed on the MIX Market website, received four diamonds for its level of information disclosure. Turkish Grameen Microfinance Project discloses weekly information on its lending portfolio. (MIX Market 2007; personal interviews: June-July 2009.)</t>
  </si>
  <si>
    <t>At the end of each fiscal year, open SAs must publish general balance sheets and profit-and-loss statements, including allocation of earnings, in the official gazette (El Diario Oficial). Closed SAs need not publish their balances unless they invoice 100,000 re-adjustable units fixed by the state-owned Uruguayan Mortgage Bank (around US$1.7m in March 2008), or have total assets exceeding 30,000 adjustable units (US$500,000). Auditing is compulsory for open SAs and optional for closed SAs. However, a fiscal commission or trustee conducts the internal auditing; the commission comprises three or more members, who must be compensated, need not be shareholders, but must be appointed by the shareholders’ meeting. The auditing need not be done externally by a licensed auditing firm. External ratings are not required. In practice, external audits and ratings have been rare among SAs, as well as among other types of MFIs (NGOs and non-regulated co-operatives), which have no legal requirement to undertake them. MFIs, as non-regulated institutions, do not face requirements to disclose effective interest rates, and in practice they often tend to hide or obscure commissions and fees. (Economist Intelligence Unit, Country Commerce, April 2007, April 2008; personal interviews: August 2008, June 2009; MIX Market.)</t>
  </si>
  <si>
    <t>Annual external ratings and audits are in principle required for regulated institutions, and monthly financial statements must be published in newspapers. However, the two Venezuelan MFIs listed in MIX Market for 2008 are not currently externally rated. Some NGOs are externally audited though they face no requirements, and do not undertake external credit ratings. There is no obligation to advertise effective interest rates, and practices of disclosure vary by institution. (Personal interviews: August 2007, August 2008; MIX Market.)</t>
  </si>
  <si>
    <t>The SFD requires banks to submit monthly reports, according to a format drawn up by the SEEP Network. Five Yemeni MFIs have their financial details and audits (including information on interest rates) posted on the MIX Market, and Sanabel (a microfinance network of Arab countries) has also included several MFIs in its MicroBanking Bulletin. The larger MFIs are generally viewed as being proactive in encouraging transparency, and are committed to providing information on commercial funds and rates on request; however, some of the smaller MFIs are limited by their inadequate systems. In addition, the effective interest rate (which includes compound interest) is not generally available to clients, although the nominal rate is. Al Amal Bank, meanwhile, has also pledged to report to the MIX Market and Sanabel. The Central Bank is looking to introduce a series of by-laws as an add-on to the new Microfinance Law, which would impose requirements on transparency; however, as yet nothing concrete has been produced. (Personal interviews: March-June 2009; MIX Market website.)</t>
  </si>
  <si>
    <t>MFIs, whether UCOs or credit organisations, are not allowed to take deposits, offer insurance or process remittances. The product range is limited to microloans to individuals and to groups for business development and consumption. However, in 2009 Aregak is expected to launch insurance products for auto, health and personal liability needs. Moreover, MFIs can act as channels for the distribution of insurance products to the poor by other financial institutions. (MIX Market, 2004, 2007, 2008; Arakelyan and Margaryan 2006; personal interviews: June-July 2009.)</t>
  </si>
  <si>
    <t>MFIs are currently unable to take deposits; the Law on Banks specifically excludes non-bank financial institutions from such activities, and limits them to “cash credit". FINCA Azerbaijan, a microcredit institution, has the largest product portfolio in the country, offering Solidarity Credit Group Loans, Rural Loans, Express Individual Loans, and Small-to-Medium Enterprise Loans. Legislation under consideration would allow limited deposit-taking products (savings), but the central bank apparently does not want MFIs to compete with banks for deposits. (MIX Market 2007, 2008; MIX Market November 2008; Personal interviews: June-July 2009; World Bank, Doing Business, 2009.)</t>
  </si>
  <si>
    <t>Most Bangladeshi MFIs accept voluntary savings from their members/borrowers in addition to offering microcredit. Grameen, ASA and some of the other major MFIs provide microinsurance. BRAC is a sub-representative of Western Union in remittance services. BURO Bangladesh has announced plans to offer remittance services in its 125 branches. Some MFIs also proved training and consulting, leasing and business development services. (Personal interviews: May 2009; MIX Market.)</t>
  </si>
  <si>
    <t>Regulated institutions have innovated in expanding services (savings on the part of regulated institutions, fund transfer, health insurance, hazard insurance, financial leasing, etc.) The majority of MFIs listed in MIX Market for 2008 offer at least one service besides microcredit, such as fund transfer, insurance, or voluntary savings. (Personal interviews: August 2008, May 2009; MIX Market.)</t>
  </si>
  <si>
    <t>MFIs are allowed to provide basic credit services, but are not allowed to offer remittances, deposits or savings. They are allowed to form alliances with insurance companies to act as distribution channels for their products. There is a wide range of loan types packaged for different sectors. For instance, Partner Microcredit, which has the highest number of active borrowers, offers loans to farmers, loans for business improvement, current-asset loans and fixed-assets loans. (MIX Market, 2007, 2008; personal interviews: May-June 2009, June-July 2009.)</t>
  </si>
  <si>
    <t>Development and commercial banks can legally and typically do offer (in some combination) such services as loans, cheque-cashing, savings, insurance, time deposits, and housing loans, in part through correspondent banking. By far the largest MFI in Brazil, Banco do Nordeste's CrediAmigo programme, however, only offers microcredit. SCMs, OSCIPs and NGO MFIs are limited legally to microcredit and simple services such as cheque-cashing; any MFI can, however, become a banking correspondent, and some do offer that service. Credit unions typically engage in accepting savings deposits and making loans (some for members only), but they are prohibited from additional activities unless specifically licensed for that purpose. Microinsurance, which is regulated by a separate superintendency from banking and finance, is generally underdeveloped. Fund transfers are not well developed, in part because of a high rate of banking access that limits the potential market for MFIs. (Meagher et al, 2006; personal interviews: July-August 2008, May 2009; MIX Market.)</t>
  </si>
  <si>
    <t xml:space="preserve">MFIs almost exclusively provide credit services. Although licensed MFIs can apply for a special additional licence to collect savings from the general public, in reality only one microfinance provider (ACLEDA, the country’s third-largest bank) does so on a large scale, because the requirements by the NBC are onerous for NBFIs and NGO-MFIs. The NCB has not made it clear that they are legally allowed to offer voluntary savings and other financial services. Even if the regulations regarding savings-mobilisation were clearer, many MFIs may soon omit to offer savings services to their clients. The infrastructure to offer savings (for example, credit guarantees or deposit insurance) does not exist, and MFIs generally lack the required technical knowledge. Moreover, MFIs have a limited incentive to offer savings, because other sources of funding (through the RBC or international investors) are plentiful. To date, few MFIs (such as CHC and Vision Fund) have experimented with microinsurance, but these programmes are still in the pilot stage. NGO-MFIs have so far not offered remittance services, primarily owing to a lack of technical capacity. (Personal interviews: June 2009; MIX Market.) </t>
  </si>
  <si>
    <t>Banks and non-banking financial institutions offer a wide range of services, including microcredit, savings, various types of insurance, and remittances. Credit unions/co-operatives offer savings to members and non-members, but can only loan to members. In some cases, larger credit unions offer services such as credit/debit cards, insurance, and mortgage lending. NGOs cannot offer savings, rarely offer insurance or remittances, and mostly offer only microcredit. (Personal interviews: August 2008, June 2009; MIX Market.)</t>
  </si>
  <si>
    <t>Banks tend to offer a few services beyond microcredit, such as savings, debit cards, and remittances (the last of which are dominated by the Banco Nacional de Costa Rica). Insurance was until very recently a state monopoly, but must be opened to private firms under DR-CAFTA from January 1st 2009, and this process of liberalisation is now underway and may open opportunities for microinsurance for some MFIs. NGOs, the most numerous MFIs, are mostly restricted to credit; the two largest ones offer wider services, such as remittances. Co-operatives offer savings and loans to the general public (if regulated) and only to members (if not), and sometimes offer services such as fund transfers and debit cards. (Personal interviews: August 2008, May 2009; MIX Market.)</t>
  </si>
  <si>
    <t>Generally speaking, regulated institutions offer a fairly wide array of credit and loan products, such as time deposits, debit cards, savings accounts, and, in some cases, insurance. Among the four microfinance institutions (MFIs) listed in MIX Market 2008, the two regulated institutions were the only ones to offer other services besides microcredit. The previous year, a third institution, Fundación San Miguel, also offered additional services, such as voluntary savings and insurance. (Personal interviews: August 2007, August 2008, June 2009; MIX Market; Marina Ortiz and Mario Davalos, Sondeo sobre las Microfinanzas en la República Dominicana, CORDAID, 18th November 2008.)</t>
  </si>
  <si>
    <t>Many MFIs in Ecuador offer a moderate range of services beyond microcredit, particularly savings, funds transfers, and in some cases, insurance. However, the country's numerous NGOs tend to be restricted to microcredit, while credit unions tend to be limited to savings and loans. Limited transfers and insurance is offered according to MIX Market 2008, but there is still room for innovation and some institutions continue to confront technological problems in terms of offering services such as debit cards and electronic funds transfers. (Personal interviews: August 2008, May 2009; MIX Market.)</t>
  </si>
  <si>
    <t>Regulated non-banking institutions, particularly co-operatives, often have a modest to wide variety of other services, such as savings, insurance, factoring, microleasing, and fund transfer/remittances. Non-regulated co-operatives primarily conduct only savings and loan operations. Both banks and NGOs generally offer only microcredit and in some cases also remittances. (Personal interviews: August 2008, May-June 2009; MIX Market.)</t>
  </si>
  <si>
    <t>MFIs are not allowed to take deposits, but can offer remittances and co-operate with insurance companies to provide insurance products. Loan products are usually developed with specific sectors in mind. For instance, one of the leading MFIs, Credo, offers individual urban business, tourism development, agricultural equipment and household loans. In June 2009 it introduced instant payment service, which makes repayment of loans easier. (MIX Market 2005, 2007, 2008; personal interviews: June-July 2009.)</t>
  </si>
  <si>
    <t>The quasi-legal status of MFIs inhibits clearly defined governance standards, even though most MFIs try to adhere to best international practice. Corruption in bureaucratic institutions is a concern, especially in the regulatory, tax, and dispute-settlement systems. The World Bank's Investor Protection Index assigned Azerbaijan a score of 6.7 (on a scale of 1-10, where 10 indicates more investor protection), compared with a 5.5 regional average. In mid-2007 the government addressed corruption concerns by adopting a new National Strategy on Increasing Transparency and Combating Corruption, along with an ethics code for civil servants. Enforcement of these standards could be improved (Personal Interviews: June-July 2009; World Bank, Doing Business, 2009.)</t>
  </si>
  <si>
    <t xml:space="preserve">The MRA is empowered to issue governance standards of accountability and independence for MFIs and make sure these are followed, but has yet to do so. The Grameen Bank Ordinance contains some general governance standards. For now, the quality of governance among MFIs varies widely, although remarkably few scandals have erupted despite the regulatory weakness and the sector’s size. World Bank Doing Business 2009 awards Bangladesh a score of 7.0 out of 10 on both extent of director liability and ease of shareholder suits, and 6.7 on strength of investor protection. (Personal interviews: June 2009; World Bank Doing Business 2009; Credit and Development Forum, Bangladesh.)  </t>
  </si>
  <si>
    <t>Economy-wide, general requirements are weak to non-existent, except for in some recently privatised companies. But banking regulations establish governance requirements for regulated financial institutions, including the creation of audit committees; the participation of directors on credit committees; the regulation of activities of internal supervisors; the rotation of external auditors (from an approved list published by the ASFI); and practice of external ratings by ASFI-recognised auditors (which are at present Fitch and Moody's). There is good awareness among regulated MFIs of the importance of observing these standards. Among non-regulated MFIs, the NGO voluntary association plays an important role in promoting self-regulation and the spread of best practice and an increasing number are seeking ratings not only from specialised microfinance auditors, but also commercial auditors. (OECD, White Paper on Corporate Governance in Latin America, 2003; personal interviews: August 2008, May 2009.)</t>
  </si>
  <si>
    <t>According to a joint MIX and CGAP report and local sources, governance standards are high and well observed. The World Bank gave Bosnia and Herzegovina a score of 5.0 on its investor protection index, compared to the regional average of 5.5. (MIX &amp; CGAP, March 2009; personal Interviews: June-July 2009; World Bank Doing Business 2009.)</t>
  </si>
  <si>
    <t>Economy-wide, laws passed in 2000-02 for sociedades anónimas abiertas (SAAs, traded corporate entities) strengthened minority rights, allowed for formation of audit committees, strengthened management responsibility for ensuring fair market prices for transactions, set limits for stock options and purchase of own shares, and established other corporative governance norms. There have been periodic discussions of a national corporate governance code that would encompass non-listed firms as well, but no concrete action. The current and previous governments have sought to strengthen minority rights further, but much remains to be done particularly with respect to non-listed firms, where the issue in practice is dealt with through shareholder agreements. Institutions regulated by the SBIF have higher and more uniform governance standards than non-regulated institutions. Chile scores above the regional average on the World Bank's Doing Business Investor Protection Index. The governance of co-operatives, including members' voting rights, is regulated by the Co-operatives Law and overseen by the Department of Co-operatives.( Padilla and Gillet, 2001; personal interviews: August 2007, August 2008; Economist Intelligence Unit, Country Commerce, January 2008.)</t>
  </si>
  <si>
    <t>Among regulated institutions, a specialised department within the Superintendency supervises the implementation of governance norms, which have been strengthened under the Uribe government. Among NGOs, although formal requirements do not exist, governance standards are often solid, owing to self-regulation in part to meet the concerns of foreign and domestic lenders and investors. (Economist Intelligence Unit, Country Finance, May 2008; personal interviews: August 2008, May 2009.)</t>
  </si>
  <si>
    <t>Banks must submit quarterly statements, publish audited financial statements in two newspapers during the first 60 days of the year, and publish a balance sheet and provisional liquidity three times a year. They must also be annually classified by a risk-classifying agency registered in the registry of the Bolsa de Valores de El Salvador (the public stock exchange) with the Superintendencia de Valores (Securities Commission). Regulated savings and credit co-operatives must submit annual external audits and publish audited financial statements in a newspaper during the first 60 days of the year, and publish a yearly balance sheet in a newspaper. Federations must have an auditing committee that reports to the Commission. Co-operative associations must submit monthly financial statements to the Salvadoran Instituto Nacional para el Desarollo Cooperativo (Co-operative Development Institute). SGRs must disclose their financial statements to the Superintendency. However, external ratings are uncommon among regulated NBFIs, in part given the high cost and small presence of specialised ratings agencies. NGOs must formally account for their capital using established accounting standards and submit an annual audited balance sheet to the interior ministry’s registry; auditors are obligated to inform the organisation's general assembly and the El Salvador Court of Accounts if there is an irregularity in the administration of capital. External ratings are uncommon among non-regulated co-operatives or NGOs, although they are more common (albeit not obligatory) among banks. Out of the 11 MFIs listed in MIX Market, only three were externally rated in 2008. Disclosure and dissemination of effective interest rates is obligatory for regulated institutions, but not for non-regulated ones, where practices vary across institutions. (Personal interviews: August 2008, May-June 2009; Microfinance Gateway; MIX Market.)</t>
  </si>
  <si>
    <t>Established MFIs tend to be more transparent and disclose their effective interest rates, but there are still a number which do not, according to informants. The Law on Microfinance Organisations requires MFOs to: invite an external auditor on an annual basis to perform external audit in conformity with Georgian legislation; perform accounting and financial reporting in accordance with the IAS; publish financial statements, as well as the external audit report, at the end of the fiscal year. If an MFO does not follow these procedures, the Financial Supervisory Agency can revoke their licence. Out of 8 institutions listed on the MIX Market website, four have received five diamonds for the level of information disclosure. (MIX Market 2005, 2007, 2008; SME Support Project, 2005; USAID, August 2008; personal interviews: June-July 2009.)</t>
  </si>
  <si>
    <t>Three of the top four MFIs (by loan portfolio) provided audited financial statements for 2008. The Ghana Association of Microfinance Institutions (GHAMIN) promotes transparency among members and membership is strong. The Lenders and Borrowers Act 2008 makes disclosure of effective interest rates mandatory, but for the moment the Bank of Ghana has not pressured MFIs to comply. The most transparent MFIs nevertheless give clear details on fees. Ghana scored 0.33 (out of 1) in the World Bank’s Transparency and Consumer Protection Index, which measures the public availability of information published by the central bank on fees and charges levied on transactions and the disclosure of interest rates and charges to customers. This is the same as the regional Africa average (CGAP Paper 2005; World Bank, Banking the Poor 2009; MIX Market.)</t>
  </si>
  <si>
    <t>Publication of effective interest rates is not required for regulated institutions, and neither they nor NGOs commonly divulge such information. Annual external audits are required for regulated institutions, and some NGOs have made increasingly strong efforts at self-regulation and transparency. Only a minority of the 15 MFIs listed in MIX Market are externally rated. External ratings are more common but not universal among banks. (Personal interviews: May 2009, August 2008.)</t>
  </si>
  <si>
    <t>External audits are required and external ratings are common among regulated institutions, which are, however, mostly absent from microfinance. Audits are less frequent among non-regulated institutions, although some wholesale lenders require them. Ratings are not commonly undertaken. Interest-rate disclosure is problematic, with hidden fees, rebates, and other practices frequently disguising effective rates. (Personal interviews: August 2008, May 2009; Microfinance Gateway.)</t>
  </si>
  <si>
    <t>Banks operating in microfinance and MFIs adopt various methodologies for disclosure. It is far from 100% transparent, according to informants. Although all MCCs have to report on a quarterly basis, some small companies are not able to comply and the central bank withdraws their licence. Big financial MFOs stick to IFRS. MIX data confirm this assessment, as only one-third of MFIs listed on its site received five diamonds for the level of information-disclosure. One-third received only three diamonds, which compares poorly with other countries in the region. (MIX Market 2007, 2008; personal interviews: June-July 2009.)</t>
  </si>
  <si>
    <t>A few of the larger MFIs have external audits and publish the results. Only three MFIs (Ameen, al-Majmoua and a smaller one, Makhzoumi) are listed on MIX Market, and although they all receive a rating of 4.0 out of 5 for transparency, none underwent external ratings in 2008 according to MIX. However, most of the smaller NGOs and the MFIs that are politically orientated do not conduct external audits and, although their interest rates are not kept secret, there is no central register of them, although the IFC collected a snapshot of rates from most of the major MFIs for a recent report. (Garmeen-Jameel &amp; IFC, 2008; Personal interviews: May-June 2009; MIX Market.)</t>
  </si>
  <si>
    <t>Institutions regulated directly by the CNBV must be externally audited on a regular basis. Audits are also required of institutions upgrading to SOFIPO or SOFOME status under the 2001 law, although they are not required on a regular basis under the current delegated supervision structure of federations. Thirty-three Mexican MFIs are listed in MIX Market for 2008, compared with 40 previously, yet most are not externally rated. Disclosure of effective interest rates in a limited, not particularly effective form is required of regulated institutions, and consumer protection norms do not apply at all for most categories of institution. CONDUSEF was created as the financial-system ombudsman in 1999, charged with investigating and challenging abuses at regulated institutions. CONDUSEF publishes monthly comparative tables on its website of total annual costs of loans, which includes interest rates as well as commissions and other service charges on products such as credit cards and loans on automobiles and mortgages. Legislation currently pending before Congress as of June 2009 would increase the supervisory powers of CONDUSEF, strengthen the legal framework covering defaulted credit cards to protect borrowers from higher interest rates charged by banks, and restrict unsolicited pre-approved credit cards, among other measures. Precise impacts on interest-rate disclosure for the broader range of credit products and of MFIs remain unclear. (Meagher et al, 2006; personal interviews: August 2008, May 2009; Economist Intelligence Unit, Viewswire, 21st May 2009; Microfinance Gateway.)</t>
  </si>
  <si>
    <t>The law requires all regulated institutions to publish annual audited financial statements. Most are externally rated as a matter of practice, although this is not a legal requirement. Rating agencies include PlanetRating, Microrate and Microfinanza. MFIs are encouraged, but not required, to conduct external ratings. Of the 13 existing MFIs, at least half (99% of total market size) conduct regular external ratings and change rating agencies every three years as good practice. Disclosure of effective interest rates is not required, nor practised, though regulated institutions must disclose nominal rates and fees. (Al amana 2008 annual report; personal interviews: May-June 2009; Loi 18-97; MIX Market.)</t>
  </si>
  <si>
    <t>Interest-rate ceilings exist for NGOs, and their existence encourages the hiding of effective rates on the part of all institutions engaged in microfinance, including their regulated competitors. Regulated institutions are required to undertake external audits, as well as annual ratings by one of the agencies on a list of internationally known risk-evaluators. Both banks and NBFIs must submit annual financial statements to the Superintendency, and must have an annual shareholder meeting to discuss the audited financial statements and publish these statements in a widely circulated newspaper. Credit unions must submit annual financial reports to the labour ministry, although they need not be audited; some (such as a majority of those credit unions listed in MIX Market) are externally rated. Practices are still uneven, but improving, with a majority of the 23 MFIs listed in MIX Market for 2008 externally rated and members organisations of the NGO network ASOMIF generally externally audited. (Personal interviews: August 2007, August 2008, June 2009; Economist Intelligence Unit, Country Finance, February 2009; Microfinance Gateway; MIX Market.)</t>
  </si>
  <si>
    <t>Corporate governance is poor as the private sector has been slowly rebuilt after the 1994 genocide. Rwanda has adopted all key international standards relating to good corporate governance, but there is poor understanding and compliance in the private sector. Overall, the economy lacks human resources, negatively affecting the professionalism and capacity of governing boards. The World Bank gives the country a score of 2.7 out of a possible 10 for its Investor Protection Index. (African Peer Review Mechanism of New Partnership for Africa’s Development (NEPAD) 2007; World Bank, Doing Business 2009.)</t>
  </si>
  <si>
    <t>In principle, all MFIs are committed to high governance standards, although generally larger MFIs tend to fare better on compliance than smaller ones. In practice, there are some gaps, but fewer than in other countries in the region, according to interviewees. The World Bank's Investor Protection Index gave Tajikistan a score of 3.3, compared with the regional average of 5.5. (World Bank Doing Business, 2009; personal interviews: June-July 2009.)</t>
  </si>
  <si>
    <t>Among regulated institutions, authorities recognise the Companies Act is insufficient, although the Securities and Exchange Commission periodically issues tougher guidelines for listed companies. In 2006 the Central Bank adopted a set of codes and standards for financial institutions, as part of its longer-term effort to reform the financial services sector regulation and supervision. World Bank Doing Business 2009 gives Trinidad a score of 6.7 out of a possible 10 on its Investor Protection Index, above the Latin America and the Caribbean regional average of 5.0 and even the OECD average of 5.8. Credit unions (which do not formally engage in microfinance) have had governance shortcomings and only weak supervision from the Ministry of Labour; one of the goals of the pending reforms of the Credit Union Act by which they would come under Central Bank supervision is the definition, strengthening, and supervision of governance norms at credit unions. NGOs are largely self-regulating, with external funders providing an importance incentive. (World Bank and IMF, Trinidad and Tobago Financial System Stability Assessment, March 2006; Trinidad and Tobago: Latin American Venture Capital Association, 2009 Scorecard:  The Private Equity and Venture Capital Environment in Latin America, May 2009; personal interviews: June 2009.)</t>
  </si>
  <si>
    <t>The two existing MFIs and banks follow high standards of governance, according to sources. Even though MFIs are not closely supervised, they are in need of external funding and therefore follow best international practice. They are also under additional pressure as trendsetters in Turkey, as they are the only two players in a country that is more than ten times larger than Kyrgyzstan. Turkey received a score of 5.7 on the World Bank's Investor Protection Index, compared to a regional average of 5.5. (Personal interviews: June-July 2009; World Bank Doing Business 2009.)</t>
  </si>
  <si>
    <t>Corporate governance standards among lower-Tier MFIs are relatively strong in Uganda, and the Uganda Association of Microfinance Institutions (UAMFI) seeks to ensure compliance with governance standards from its members, although enforcement is weak and the results are uneven. Additionally, stricter licensing requirements for NGOs came into effect in 2009 to ensure proper ownership and accountability. The country received a score of 4.0 out of a possible 10 in the World Bank's Investor Protection Index. However, standards among Tier-4 institutions are less robust, and SACCOS in particular have come under scrutiny for inadequate governance. (World Bank Doing Business 2009; IDLO paper; personal interview; Microcapital website.)</t>
  </si>
  <si>
    <t>There is weak transparency of finances and decision-making, particularly for closed SAs (SAs may take either a closed or open form). SAs formally report to the AIN, which is part of the Ministry of Education and Culture, and has recently strengthened its oversight and enforcement activities vis-à-vis non-regulated co-operatives and NGOs. Internal auditing is compulsory for open SAs and optional for closed SAs. A fiscal commission conducts the internal auditing; the commission comprises three or more members, who must be compensated, need not be shareholders and must be appointed by the shareholders’ meeting. If there is suspicion of serious mismanagement, disclosure of company books, nominative share registry and minutes of meetings are required in response to a formal request by shareholders representing at least 10% of capital. Minority shareholder rights are generally weak in law and practice, even among listed firms. According to World Bank Doing Business 2009, Uruguay has a score of 5.0 out of 10 on the Investor Protection Index, which is right at the regional Latin America and the Caribbean average. There is no regulation of NGO governance norms and they vary in practice across organisations; there is little self-regulation, although an incipient MFI network is seeking to address these issues. Co-operatives are governed by national norms, although practices vary. The AIB does oversee basic fiscal aspects of non-regulated institutions, and its enforcement has become more strenuous of late. (Economist Intelligence Unit, Country Commerce, April 2007, April 2008; personal interviews: August 2008, June 2009.)</t>
  </si>
  <si>
    <t>Economy-wide, corporate governance standards are strong on paper (obligatory minority board representation, shareholder approval of share issues, shareholder decisions on dividends, etc). However, they are quite weak in practice owing to lax enforcement and the government's emergence as a major player on the stock market and in acquisition of majority stakes in numerous sectors. The World Bank's Doing Business 2009 rates the country a very low 2.7 on a scale of 1-10 on its Investor Protection Index, compared with a regional average of 5.0 and an OECD average of 5.8. In the financial services sector, Sudeban enforces stricter standards. Standards depend on self-regulation and are more uneven in the NGO segment. (Economist Intelligence Unit, Country Finance, July 2008; personal interviews: August 2008, June 2009.)</t>
  </si>
  <si>
    <t>Governance standards across Yemen are very poor. There is no stock exchange, and companies are unused to publishing their full accounts (a reluctance that has caused considerable problems in introducing the general sales tax). According to the World Bank’s 2009 Doing Business Report, Yemen scored 4.0 out of 10 on the Investor Protection Index, held back by the limited legal avenues available to settle disputes (Yemen’s commercial court system is severely under-resourced and underdeveloped). Governance is slightly better among MFIs under the umbrella of the SFD, as they are required to submit monthly reports for outside scrutiny, and a number publish their accounts and audits. Furthermore, the new law, once implemented, affords the Central Bank the right to judge whether a bank's shareholders and managers are suitably qualified and bans registered MFIs from lending to employees or family members. Nevertheless, most MFIs in the country suffer from poorly trained staff, and management is largely unaccountable. Interference in the activities of the MFIs, either by government officials or local important sheikhs, has occurred in the past, and fraud has been reported in more than one instance. With this in mind, efforts to implement best practice in governance have been attempted in some instances, with assistance from the Arab Gulf Programme for United Nations Development Organizations (AGFUND )among others, but it remains an ongoing process. (Personal interviews: March-June 2009; World Bank Doing Business 2009.)</t>
  </si>
  <si>
    <t xml:space="preserve">Transparency levels are high because of tough reporting requirements and close supervision. According to MIX market, the two biggest players, Aregak and Kamurj, both receive five diamonds for their level of information disclosure. The law on Financial System Ombudsman establishes a special complaint mechanism for clients of banks and other financial institutions. The law specifically obliges financial institutions to have internal procedures regarding examination of customer complaints and to disclose such procedures to the public. 
As of January 2009 MFIs are required by law to disclose effective interest rates to consumers (although not for business loans), and most MFIs follow this practice. Given the interest-rate ceiling, there is a natural incentive to introduce hidden costs, because the ceiling is interpreted as a nominal rather than effective rate. For example, borrowers are required to pay “administrative” fees for issuing loans and have to deposit an amount with banks for which they do not receive interest. The Law on Consumer Credit adopted in 2008 is intended to improve the situation by introducing the concept and method of calculating the interest rate, and sets requirements on provisions to be included in the loan agreement. The law has not yet been ratified, however. (MIX Market, 2004, 2008; personal interviews: June-July 2009; World Bank, Doing Business, 2009.)
</t>
  </si>
  <si>
    <t>The constitution provides for an independent judiciary, but in practice this is not the case. Judicial appointments, for terms of ten years, to the Supreme Court, the Supreme Economic Court and the Constitutional Court are the prerogative of the president, subject to parliamentary approval. Mr Rahmon has retained wide powers of patronage, enabling him to control government and other political appointments, and contributing to the prevalence of corruption and cronyism. This is particularly widespread within the judiciary, whose independence is further compromised by political pressure. According to World Bank Doing Business, Tajikistan scores higher for its enforcement of contracts than the Eastern European and Central Asian average, but its judicial procedures are more costly as a percentage of a claim. (Economist Intelligence Unit, Country Profile, June 2008; World Bank Doing Business 2009.)</t>
  </si>
  <si>
    <t>Tanzania has an extremely poor judicial system, with cases often held up in courts for years at a time (especially if it goes to appeal). For companies, the introduction of a commercial court has speeded the legal process up, but the process is still slow. Moreover, if there is any appeal against a commercial court ruling, the case moves back into the normal judicial system and slows down again. All government regulatory agencies tend to be reactive, rather than proactive, often responding to issues in the press, rather than initiating their own investigations. They also have extremely limited investigative capacity and any company that wants to can easily avoid, subvert, or bribe its way around existing regulations. (Economist Intelligence Unit, Risk Briefing, July 2009.)</t>
  </si>
  <si>
    <t>The legal system is notoriously slow and inefficient, but is considered to be relatively impartial. There is no evidence to suggest that domestic, rather than foreign interests are favoured, although it is possible that politically powerful or wealthy individuals may receive preferential treatment. While adequate protection of intellectual property rights is written into law, enforcement of the legislation is poor. Amendments to the bankruptcy laws are currently being debated in parliament, but they are designed to alter the bias of the laws to be more supportive of debtors, rather than creditors. There are no proposals to try to reduce the excessively long time it takes to consider cases and the consequent huge backlog of cases in the bankruptcy court. (Economist Intelligence Unit, Risk Briefing, June 2009.)</t>
  </si>
  <si>
    <t>The judiciary generally provides a level playing field for foreign investors, but judicial processes remain extremely slow. Although new Supreme Court rules should speed up the final resolution of cases (some of which drag on for over ten years), it will take time to work through the backlog of around 3,500 civil and commercial cases. Delays have occurred in the approval of foreign investment projects, resulting from inadequate co-ordination between ministries. There is no overt discrimination against foreign companies, but an emphasis on increasing local content means that proposals involving Trinidadian businesses receive favourable treatment. There is little risk of expropriation of assets and Trinidad’s intellectual property rights legislation is among the most advanced in the region, although enforcement has been lax in some sectors. Price controls have been removed on most goods. (Economist Intelligence Unit, Risk Briefing, July 2009.)</t>
  </si>
  <si>
    <t>The judicial process can be slow owing to the backlog of cases and court decisions are often unpredictable and have been subject to political interference in high-profile cases. Nevertheless, constitutional changes have eliminated concerns over the legality and enforceability of international arbitration decisions in Turkey. Changes in June 2001 to the intellectual property rights law means Turkish legislation now complies with World Trade Organisation (WTO) rules (TRIPS), but enforcement will remain an issue. Discrimination against foreign companies is low, as is the risk of expropriation. Although in recent years the authorities have created several regulatory boards to establish, monitor and enforce new competitive practices, effective implementation is likely to remain incomplete. Price controls are largely absent. To improve the finances of Turkey's public enterprises, prices of publicly produced goods and services, including petrol, gas and electricity, are increasingly determined by market forces. (Economist Intelligence Unit, Risk Briefing, May 2009.)</t>
  </si>
  <si>
    <t>Of all institutions engaged in or potentially moving into microfinance, private banks have the best governance, in part because financial-sector regulators have rooted out several foundering banks marred by mismanagement in recent years through closures, bankruptcies, and consolidations. Management practices in state-owned banks operating in microfinance can be more opaque, because of the role of political appointments. Governance practices are quite varied at NGOs (the most numerous, but smallest, MFIs), with some practicing good transparency and accountability through self-regulation promoted by NGO networks, while others do not. Co-operatives, despite having their own assembly governance structure, lack strong external oversight, particularly where not regulated, and sometimes present governance shortcomings. According to World Bank Doing Business (2009), Costa Rica has a score of 3.0 out of 10 on the Investor Protection Index, compared with a regional average of 5.0 (Personal interviews: August 2008, May 2009; Economist Intelligence Unit, Country Finance, February 2008, February 2009.)</t>
  </si>
  <si>
    <t>There is no set of comprehensive voluntary or binding corporate governance requirements, despite the passage in December 2008 of a new Law of Limited Liability Companies (in effect from June 19th 2009), which addresses some issues in a newly recognised corporate form, intended mainly for small and medium-sized enterprises and therefore not directly relevant to the governance of microfinance entities. Independent auditors may attend annual shareholders' meetings, but are not required to do so, meaning minority board members do not always have access to timely financial information. Comisarios (legal overseers) have conflicting responsibilities of external oversight and internal provision of advice. Financial reforms have improved regulation, but concerns persist over sanctions and policing of financial reporting. The World Bank's Doing Business (2009) continues to rate the Dominican Republic at 4.0 on a scale of 0.0-10.0 in terms of its Investor Protection Index, compared with a regional average of 5.0.  (World Bank and IMF, Report on Observance of Standards and Codes, December 2004; Economist Intelligence Unit, Country Risk Summary, August 2007; personal interviews: August 2007, August 2008, July 2009; European Corporate Governance Institute 2008; Latin American Venture Capital Association, 2009 Scorecard: The Private Equity and Venture Capital Environment in Latin America.)</t>
  </si>
  <si>
    <t>Economy-wide, minority rights are covered in the corporate governance norms that the CAF has developed and for which it, along with other international agencies, is providing Ecuadorean firms with training and technical assistance over a four-year period in co-operation with the Quito stock exchange. But this is a voluntary undertaking for listed firms, and banks did not choose to enter. There remains some reluctance in the country to open up an institution's capital (in part because of fears of money-laundering by drug-traffickers), as well as to adhere to the higher standards of corporate governance and shareholder rights that a public listing would entail. According to World Bank Doing Business 2009, Ecuador has a score of 4.0 out of 10 on the Investor Protection Index, compared with a regional average of 5.0. Among credit unions and NGOs, there continues to be reluctance to embrace fully good governance practices. (Economist Intelligence Unit, ViewsWire, Ecuador, April 18th 2008; personal interviews: August 2008, May 2009; World Bank Doing Business 2009.)</t>
  </si>
  <si>
    <t xml:space="preserve">Economy-wide, only minimal requirements are in place for corporations, such as holding annual meetings, publishing annual financial reports, allowing minority shareholders to call a meeting, and registering companies in the commercial registry. Beyond experience requirements for directors and CEOs, the SSF imposes no significant governance requirements for financial institutions. World Bank Doing Business 2009 scores El Salvador at 4.3 out of a maximum 10 on its Investor Protection Index (the same as last year), compared with 5.0 on average for the Latin America and the Caribbean region. Most savings and credit companies and co-operatives have moved to strengthen governance. As associations or foundations, NGOs must have publicly available internal statutes, which include a description of the administering body's functions; procedures for elections; and a responsibility and accountability plan. However, in practice standards are still quite uneven. (Economist Intelligence Unit, Country Commerce, July 2007; personal interviews: August 2008, May-June 2009; World Bank Doing Business 2009; Microfinance Gateway.) </t>
  </si>
  <si>
    <t>While there are no specific governance standards for MFIs, business practices in Ghana as a whole fall short of international best practice for transparency, accountability and ethics. The World Bank gives the country a score of 6.0 out of a possible 10 for the Investor Protection Index (World Bank, ROSC 2005, Doing Business 2009.)</t>
  </si>
  <si>
    <t>The governance structure of many financial institutions remains more familial than corporate. Despite the considerable progress in setting up the legal framework for financial-system reform in recent years, the regulated financial sector in general continues to have problems regarding transparency and supervision. In 2007 the Soros Foundation began funding the Programa de Transparencia en el Sistema Bancario de Guatemala, a programme to promote financial-system transparency in the country. The programme was slated to end in June 2009, but results are not yet clear. World Bank Doing Business 2009 continues to give Guatemala a score of 4.0 out of a possible 10.0 on its Investor Protection Index, below both the 5.0 regional average and the 5.8 OECD average. The numerous NGOs in Guatemala have widely varying governance structures and norms. (Economist Intelligence Unit, Country Finance, December 2008; Personal interviews: May 2009, August 2008).</t>
  </si>
  <si>
    <t>Because many companies remain controlled by entrepreneurs, family-owned businesses or the public sector, questionable practices, such as transferring funds between group companies, book-keeping irregularities and manipulation of stock prices, have been commonplace. Regulatory and market changes are now forcing companies to start adhering to codified governance standards and to become more transparent. MFIs that are not regulated by the central bank and that want to borrow from banks or entice donors and investors, typically strive to comply with governance standards on accountability and independence. World Bank Doing Business 2009 awards India a score of 7.0 out of 10 on the ease of shareholder suits, 6.0 on investor protection, and 4.0 on extent of director liability. (Economist Intelligence Unit, Country Finance, July 2008; World Bank Doing Business 2009.)</t>
  </si>
  <si>
    <t>Jamaica lacks a formal corporate governance framework, although the Private Sector Organisation of Jamaica (PSOJ) adopted a voluntary code in October 2005 and the stock exchange has moved to create a voluntary code for listed firms. Some provisions related to corporate governance appear in the Companies Law, stock exchange rules, the Banking Act, and other more general regulations. Key principles still absent include term limits for directors, rotation of auditors, and accounting guidelines. Additional guidelines, of particular relevance to non-regulated institutions, are provided by public and private agencies providing wholesale financing, although oversight and implementation are uneven. According to World Bank Doing Business (2009), Jamaica has a score of 5.3 out of 10 on the Investor Protection Index, compared with a regional average of 5.0. (Caribbean Corporate Governance Forum, 2006; personal interviews: August 2008, May 2009; PSOJ website.)</t>
  </si>
  <si>
    <t>Most MFIs began as donor-funded projects. Overseas funding compelled governance and accountability standards to follow industry best practices. However, governance standards in Kenya as a whole are low and gaps in oversight and management are commonplace. The World Bank gives the country a score of 5.0 out of a possible 10 in its Investor Protection Index. (World Bank Doing Business 2009; personal interviews: May-July 2009.)</t>
  </si>
  <si>
    <t>There are no governance standards specific to microfinance in Lebanon, although the World Bank's Doing Business 2009 gives corporate disclosure in Lebanon a score of 9.0 out of 10. There is evidence of good governance structures in the few larger mainstream MFIs, and a more varied picture throughout the rest of the segment. There are various initiatives to enhance governance in the corporate sector, including the requirements of the 2006 EU Association Agreement with Lebanon, the IFC's Lebanon Corporate Governance Project, and the Lebanese Transparency Association's Corporate Governance Task Force. However, as all but one MFI operate as NGOs, these initiatives do not have a direct effect on the segment. (World Bank, Doing Business 2009; personal interviews: May-June 2009.)</t>
  </si>
  <si>
    <t xml:space="preserve">All permit-holding MFIs are legally required to be members of the Fédération Nationale des Associations de Microcrédit (FNAM, the National Federation of Microcredit Associations), which serves as the industry’s formal representative to public authorities and maintains a written code of conduct and other standards and resources for the industry. FNAM is understaffed and has a relatively short institutional history, marked by internal struggles between small and large MFIs. A recent change in the federation’s management is perceived as favourable and expected to improve efficiency. Good governance standards are generally applied in the five major MFIs (representing 98% of total market), which operate under similar methods and procedures as banking institutions, with relatively strict financial disclosure requirements, sound management structures with periodic meetings of management boards and steering committees, annual reporting and external auditing and rating. 
Governance problems are more common in small MFIs. Awareness of the importance of independence and transparency, while growing, is still lacking. Morocco scores 3.0 out of a maximum of 10 on the Investors Protection Index in World Bank Doing Business 2009. (Zakoura 2007 annual report; Al amana 2008 annual report; Personal interviews May-June 2009; FBP website.)
</t>
  </si>
  <si>
    <t>A general meeting of shareholders is the highest authority of a corporation, the legal status held by regulated institutions. There must be periodic meetings of the shareholders (usually at least once a year). The assembly is empowered to draft or modify the company’s charter or issue shares. Any shareholder or group of shareholders representing a minimum percentage of the capital stock may convene a shareholders’ meeting. Corporate charters must be registered in the Mercantile Register. Government authorities may require firms to present financial statements or minutes of board meetings, but they do not do so systematically. The Superintendency has, however, strengthened information-reporting and disclosure requirements for regulated institutions in recent years. According to World Bank Doing Business 2009, Nicaragua has a score of 5.0 out of 10 on the Investor Protection Index, in line with the regional average. Governance problems are more common in non-regulated than regulated institutions. Awareness of the importance of independence and transparency, while growing, is still lacking in non-regulated institutions. (World Bank Doing Business 2009; Economist Intelligence Unit, Country Finance, February 2009; personal interviews: August 2008, June 2009.)</t>
  </si>
  <si>
    <t>IAS were adopted by Peru economy-wide in the late 1990s, and IFRS are required for all listed firms. With enforcement in the hands of the SBS, IAS are generally in use in regulated financial entities. The SBS has developed detailed accounting standards for financial institutions for both regulatory and general-purpose financial reporting; although they are generally in line with international standards, a few of the standards adopted for the latter purposes are out of line with IFRS. In non-regulated institutions, accounting standards are subject to considerable self-regulation and dissemination of best practice via voluntary NGO microcredit associations and co-operative federations; in practice, standards vary across such institutions, but they are nearing IAS. (World Bank Report on the Observances of Standards and Codes, June 2004; personal interviews: August 2008, June 2009; Deloitte/IAS Plus; CONASEV; eStandards Forum; Procapitales.)</t>
  </si>
  <si>
    <t>All companies, banks and other entities registered with the SEC are required to comply with specific provisions of the Philippine Financial Reporting Standards (PFRS) and the Philippine Accounting Standards (PAS), prescribed by the SEC. Both the PFRS and PAS are based on IFRS and IAS. Philippines standards differ from international standards in a few areas, including pension, foreign exchange and leases. Given lax regulation, credit co-operatives and NGOs do not always prepare timely and up-to-standard accounts. The National Credit Council (NCC) recommends voluntary lodging of NGO reports with the MCP to encourage self-regulation and market discipline among MFIs. (National Credit Council &amp; Bangko Sentral ng Pilipinas, 2006; personal interviews: June 2009; Deloitte IAS Plus.)</t>
  </si>
  <si>
    <t>The Rwandan government has begun to make moves to ensure company compliance with international standards. The new Companies Act 2008 that goes into effect this year requires that both public and private companies follow International Accounting Standards; according to the World Bank Report on the Observance of Standards and Codes (ROSC) for Rwanda, from June 2008 the accounting and auditing laws as outlined in the Banking Act require these institutions to designate at least one external auditor chosen from a list regularly drawn up by the BNR. However according to the report gaps in compliance remain and there is generally a lack of trained professionals in the accounting industry. Furthermore, the Institute of Certified Public Accountants of Rwanda (ICPAR) is a self-regulating body that has no oversight or enforcement capacity, and there is no alternate official oversight body. (World Bank, Report on the Observance of Standards and Codes, 2009.)</t>
  </si>
  <si>
    <t>MFIs in the larger networks and commercial MFIs all comply with current accounting standards. However, a new accounting framework for MFIs was introduced in 2008 (similar to the country’s banking accounting framework) and will replace the current accounting framework, which is generally ineffective. MFIs have up to three years to comply, but it is likely that compliance will require longer, especially for those not affiliated to a major network owing to a lack of technical capacity. Obstacles to improving accounting standards include lack of staff training, insufficient management information systems (although there is an ongoing government study of MFI’s MIS capacity) and the ineffectiveness of law-enforcement mechanisms. The compatibility of accounting standards with international standards is not verified. Banks are considering the use of Basel II, but this is still a distant project. (Lettre Politique Sectorielle; personal interviews: June-July 2009.)</t>
  </si>
  <si>
    <t>IFRS have been adopted and are required for all domestic listed and international unlisted firms. However, there remain significant gaps in compliance. Tanzania has a National Board of Accountants and Auditors (NBAA) that issues standards, and the Tanzanian Financial Accounting Standard 8, Disclosure in the Financial Statements of Banks and Similar Financial Institutions, applies to MFIs as well. However, the World Bank report on accounting standards notes a number of inconsistencies in Tanzanian law with IFRS. (World Bank ROSC: Accounting and Auditing, 2005; eStandards Forum, April 2009.)</t>
  </si>
  <si>
    <t xml:space="preserve">Thailand has been moving toward adopting international accounting standards since the 1997 financial crisis, but adoption is as yet incomplete. Accounting Standards in Thailand are issued by the Federation of Accounting Professions (FAP), which was established in 2004. Currently, there are a total of 57 accounting standards. Of those issued, 31 standards are currently effective, four standards are not yet required by Thai law, and 22 standards have been superseded. In addition, there are nine accounting standards interpretations, four of which are required by law. For the microfinance industry, since there are no major players other than the state banks, which are funded by the government, there has been no adoption of international accounting standards. (World Bank 2007; personal interviews: June 2009; Deloitte/IAS PLUS.) </t>
  </si>
  <si>
    <t>Among regulated institutions, IFRS are required for all listed and unlisted firms; they are also required for NGOs. Microfin, as a subsidiary of the regulated institution DFL Caribbean, uses IFRS. (Personal interviews: June 2009; Deloitte/IASPLUS.)</t>
  </si>
  <si>
    <t>According to the SFD, accounting standards are largely based on those drawn up by the Small Enterprise Education and Promotion (SEEP) Network, a global microenterprise network. The SEEP FRAME tool, which is in accordance with the IFRS, is an Excel workbook that tracks 18 financial ratios, in order for MFIs to improve their financial statements and generate basic reporting for management decision-making and investors. All the dozen or so MFIs that currently exist are required to submit a SEEP report every month to the SFD, although this requirement does not apply to any NGO that chooses to operate outside the SFD. The SFD also has a loan-tracking system, which monitors due instalments. Al Amal Bank has said it is committed to comply with the IFRS set by the Consultative Group to Assist the Poor (CGAP). (Personal interviews: March-June 2009; SEEP Network website.)</t>
  </si>
  <si>
    <t>Armenia scored 5.0 out of a possible 10 on the World Bank's Investor Protection Index, compared with a regional average of 5.5. The small number of MFIs operating in the country is scrutinised by the Central Bank; according to sources, the governance standards have improved a lot in the last 3 years. The main reason for improvement is the new law on credit organisations, which has resulted in greater involvement of the Central Bank in supervising MFIs. Previously, many were operating as foundations, and as such remained outside the scope of such financial supervision. Also, the need for new external funding has placed more pressure on MFIs to increase transparency and improve reporting standards. (Personal interviews: June-July 2009; World Bank Doing Business 2009.)</t>
  </si>
  <si>
    <t>The judicial process is slow, as criminal trials clog the court system and delay commercial dispute resolution. A special commercial court was introduced as early as 2001, but an acceleration of its development is required to speed the processing of cases and to facilitate greater specialisation in the field of commercial and financial law by lawyers and judges. Property and contract rights are upheld, but in the event of dispute, resolution is a slow and costly process. Foreign investors, who in general are on a level playing field with domestic businesses, can also refer disputes with local partners for international arbitration. Utilities and financial regulators have been strengthened in recent years, as have the powers of the Fair Trading Commission. Intellectual property rights legislation is in force, but there is room for improvement in enforcement. Jamaica has since 2004 been on the US's special 301 watchlist for its non-TRIPS-compliant patent legislation. (Economist Intelligence Unit, Risk Briefing, July 2009.)</t>
  </si>
  <si>
    <t>Legal and regulatory risk is high. The court system is extremely slow and its independence is jeopardised by corruption and bribery. The new government has not shied away from the thorny issue of corruption within the judiciary, but enforcement of contracts will continue to be problematic and discrimination in the courts against foreign investors is likely to persist. Bias against foreign firms is most common when influential local businesses or politicians are involved. The establishment of new commercial courts will not lead to real improvement in the short-to-medium term, as progress is expected to be slow. Laws are in place to protect intellectual property, but enforcement is inconsistent and unreliable. Property rights are generally well protected, but issues sometimes arise when legal titles to land conflict with ancestral claims. The government imposes few price controls. (Economist Intelligence Unit, Risk Briefing, July 2009.)</t>
  </si>
  <si>
    <t>The Supreme Court, whose powers in civil, criminal and administrative proceedings were boosted by constitutional amendments in 2003, is the tribunal of final instance. International organisations, such as the International Crisis Group (ICG), have long argued that the Kyrgyz judiciary suffers from the legacies of the Soviet period, such as heavy politicisation. The former president, Mr Akayev, on several occasions used the judicial system to neutralise the opposition and strike down potential challengers. Under Mr Akayev's successor, Mr Bakiyev, the judiciary has remained under severe political pressure, and continues to be characterised by high levels of corruption, despite some limited reforms, such as the abolition of the death penalty. Delays are also lengthy and common, with contract enforcement standards less than ideal for private sector actors. (Economist Intelligence Unit, Country Profile, September 2008.)</t>
  </si>
  <si>
    <t>The legal and regulatory environments in Lebanon have many flaws. The judicial process is slow, opaque and open to influence from local interests, increasing the vulnerability of those companies unable to win agreement to submit contractual and other disputes to international arbitration. Private property rights are generally well respected, however, and there has been some improvement in protection for intellectual property rights in recent years, partly as a result of pressure from the EU and World Trade Organisation (WTO). Price controls are less prevalent than used to be the case, and since they are limited to basic goods, such as fuel, they can be administered directly through the state. (Economist Intelligence Unit, Risk Briefing, July 2009.)</t>
  </si>
  <si>
    <t>The 1992 constitution formally separates the ruling party from the state, with separate executive, legislative and judicial branches. Madagascar's legal system is based on the French Napoleonic code, although it contains some traditional Malagasy elements. The dina, the country's traditional courts, hear local civil and criminal cases, while more serious offences are dealt with by the district criminal and military courts. The country's highest court, the Supreme Court, is based in Antananarivo, along with the Court of Appeal. The High Court of Justice hears cases for high-ranking officials, while the Constitutional Court rules on key constitutional issues, most notably during the disputed December 2001 presidential election, when it confirmed Mr Ravalomanana's victory. According to the World Bank Doing Business project, in terms of enforcing contracts, Madagascar ranks higher than the regional average with regard to number of procedures and costs, but significantly lags in duration. (Economist Intelligence Unit, Country Profile, November 2008; World Bank Doing Business 2009.)</t>
  </si>
  <si>
    <t>The principles of respect for private property, protection of copyright and free operation of the markets in setting prices are fairly well established in Mexico, and a consensus exists around consolidating them. Foreign companies receive the same treatment in most respects as local ones, and the danger of expropriation is negligible. Nevertheless, where disputes do arise, the judicial system is extremely slow and inefficient in dealing with them, and sometimes corrupt. The government's efforts to institutionalise transparency and to reduce the scope for discretionary action involve complex challenges, but slow advances are being achieved. However, in the meantime, the performance of regulatory bodies is inconsistent, largely because they tend to lack effective autonomy. (Economist Intelligence Unit, Risk Briefing, July 2009.)</t>
  </si>
  <si>
    <t>Starting in 2009, most listed and unlisted companies must use IFRS, and in 2010 all institutions must do so. In January 2006 the SBIF issued detailed instructions for the adoption by banks of full IFRS, which became mandatory for all their accounts from the start of 2007. Among institutions not regulated by the SBIF, those that receive funds from Corporación de Fomento de la Producción de Chile (CORFO, the state development corporation) and therefore have more consistent standards at present; standards are variable at other non-regulated institutions, although must meet IFRS from 2010. (Economist Intelligence Unit, Country Finance, May 2009; personal interviews: August 2008, June 2009; IAS PLUS/Deloitte.)</t>
  </si>
  <si>
    <t xml:space="preserve">Accounting standards in China are transitioning towards GAAP and IAS standards. The transition period began in 2006 when the Ministry of Finance introduced its Accounting Standards for Business Enterprises (ASBEs). Although based on International Financial Reporting Standards (IFRS), there are notable exceptions, and for the moment only listed companies are required to adopt them. As unlisted entities, MCCs and VBs do not need to follow the new accounting standards. Moreover, MCCs and VBs only report to their regulators and do not disclose their accounts publicly. (PlaNet Finance 2008; personal interviews: July 2009; China Orbit; Deloitte IAS PLUS.) </t>
  </si>
  <si>
    <t>Efforts to transition to IAS have met with continued delays and roadblocks. IFRS are not permitted for either listed or non-listed firms. Inflation-adjusted accounting for tax purposes was, however, eliminated by Law 1111 of 2006. Accounting standards tend to be higher in regulated than non-regulated institutions. (Economist Intelligence Unit, Country Commerce, January 2008; personal interview: May 2009; Deloitte/IAS PLUS.)</t>
  </si>
  <si>
    <t>Accounting norms among regulated institutions approximate IAS, and IFRS are required for all listed and unlisted companies. There is some variety and unevenness in the accounting practices of NGOs and co-operatives, but insofar as they rely upon international co-operation or second-tier state lending, they also have tended to feel pressure to move toward IAS and to stay current with financial statements. (Personal interviews: August 2008, May 2009; Deloitte/IAS plus.)</t>
  </si>
  <si>
    <t>IFRS will be phased in during the 2010-12 period, with precise dates based on the type of institution. Current Ecuadorean accounting standards diverge from IAS in important respects, according to one manager of a regulated MFI. The Banking Superintendency has established and enforces these national standards for regulated institutions. The members of one national NGO network use standards from the unified accounting catalogue, which are used by regulated institutions and are roughly in line with IAS. However, other NGOs do not have internationally compatible standards. (Personal interviews: August 2008, May 2009; Inter-American Accounting Association; IAF PLUS/Deloitte.)</t>
  </si>
  <si>
    <t>International standards are followed by banks and larger microfinance Institutions (MFIs), but compliance among SMEs is still lacking, according to sources. Back in 1999 the Georgian Parliament passed the Georgian Law on Regulation of Accounting and Reporting. The law made it mandatory for large enterprises to follow IFRS. Exceptions were made for small enterprises and non-commercial enterprises. The state regulatory body for audit is the Audit Activity Council in the Georgian Parliament. Mandatory audit is required for banks and insurance companies, special state foundations, stock exchanges and security issuers, the list of which is approved every year by the Ministry of Finance. (Lebanidze, 2001; Tepnadze, 2002; Agency for International Development, 2003; BFC, November 2003; Otaridze and McCormack, 2003; Vigenina and Kritikos, 2004; MIX Market 2005; SME Support Project, 2005; Georgian Credit, 2006; MicroCapital, March 2006; NBG, September 2006; USAID, August 2008; personal interviews: June-July 2009.)</t>
  </si>
  <si>
    <t>While Ghana has begun a phased implementation of IFRS, the World Bank Report on the Observance of Standards and Codes has noted a number of gaps in the capacity of Ghana’s accounting standards, particularly with regard to compliance and availability of qualified accountants. (Estandards Forum Ranking; World Bank, ROSC 2004.)</t>
  </si>
  <si>
    <t>Economy-wide, IFRS are required for all listed and unlisted companies, and were adopted as mandatory in 2002 based on their 2001 version; while changes made in IFRS subsequently were not incorporated, the Instituto Guatemalteco de Contadores Públicos y AuditoresI (IGCPA, the Institute of Public Accountants and Auditors of Guatemala) on December 20th 2007 published the Resolution on the Adoption of IFRSs, which took effect from January 1st 2008. The resolution repealed previous resolutions that promulgated the 2001 version of the international standards, and adopted the conceptual framework for the preparation of financial statements, as well as IFRSs and their interpretations. The application of IFRSs is optional for the period beginning on January 1st 2008 and mandatory from January 1st 2009. Despite general improvements in supervision and regulation, the SB's supervision of the accuracy of annual financial statements was placed into question by the failure of several banks in 2007 as well as consolidations and acquisitions in the industry. At non-regulated institutions, standards vary considerably and depend to some extent on the requirements of external and international funders. (Personal interviews: August 2008, May 2009; Economist Intelligence Unit, Country Finance, December 2008; Deloitte/IAS PLUS; eStandards Forum.)</t>
  </si>
  <si>
    <t>The Institute of Chartered Accountants has been moving gradually to adopt IAS. IFRS are required for all listed and unlisted companies. Improved financial sector supervision has strengthened oversight of regulated institutions, although a supervisory framework for credit unions is still being established. Accounting standards at non-regulated institutions operating as limited companies depend upon guidelines set by wholesale lenders, and tend to approach IAS. Standards at the handful of non-governmental organisations (NGOs) are more informal and uneven. (Personal interviews: August 2008, May 2009; Deloitte/IAS PLUS.)</t>
  </si>
  <si>
    <t>IFRS are required for all financial institutions. The Institute of Certified Public Accountants of Kenya (ICPAK) regulates the accounting profession and is the non-governmental body responsible for the compliance with IFRS. However, it has no power to enforce these standards and there continues to be significant non-compliance because of the lack of an enforcement mechanism. Given MFIs’ irregular reporting to regulators, accounting standards are likely to suffer in practice. (UNCTAD 2006; personal interviews: May-July 2009; Estandards Forum Kenya; World Bank ROSC.)</t>
  </si>
  <si>
    <t>Accounting standards among the larger mainstream MFIs are on a good footing, and audits are usually conducted by international firms. For other MFIs, particularly those associated with political parties and sectarian communities, audits are either non-existent, non-public or inadequate. Audit practice in general in Lebanon is reasonable by regional standards, although not yet fully in accord with international standards. However, financial firms are required to have IFRS audits. (World Bank, 2003; eStandards Board, 2009; personal interviews: May-June 2009.)</t>
  </si>
  <si>
    <t>Standards vary widely in practice, depending on the juridical status of the institution, its size (standards tend to be higher at medium-to-large institutions), and whether it is regulated or not and by what means (that is, directly, or indirectly through federations). Efforts at standardised accounting practices across disparate MFIs operating under distinct juridical forms continue at various MFI networks, such as Prodesarrollo. Economy-wide and particular at institutions regulated as Sociedades Anónimas (SAs), Mexico is converging toward international standards, but still makes use of national standards, including inflation-adjusted accounting (which is mandatory for listed firms). IFRS are not permitted for listed or unlisted firms, but on 11th November 2008 the CNBV announced that all companies listed on the Mexican Stock Exchange will be required to use IFRSs starting 2012 and that listed companies will have the option to use IFRSs earlier, starting as early, and retroactively, as 2008) subject to requirements being established by the CNBV.  Very few MFIs are listed, however. Bank accounting practices generally follow US standards, since their initial overhaul in 1997. (Personal interviews: August 2008, May 2009; Deloitte/IAS PLUS; Economist Intelligence Unit, Country Finance, March 2009.)</t>
  </si>
  <si>
    <t xml:space="preserve">Standardized accounting is a recent development in Mongolia. An Accounting Law was passed only in 1993, and required businesses to follow International Accounting Standards (IAS). However, at the time a lack of familiarity with IAS as well as a lack of trained CPAs delayed implementation. As of 2001, only 27.5% of companies were using IAS, and 40% of companies did not prepare financial statements at all. However, commercial banks providing microfinance services adhere to international standards of accounting. A revised Accounting Law was passed in 2002 using a modified accrual basis of accounting. Almost all businesses now issue financial statements based on the new accounting procedures, but the lack of trained CPAs hampers compliance for smaller firms. The main providers of microfinance services, banks, are more likely to adhere to international accounting standards than other companies due to their interest in attracting foreign investment. (Deloitte IAS PLUS; Dondog 2004; PlaNet Finance 2008; personal interviews, June 2009.) </t>
  </si>
  <si>
    <t>Moroccan banks’ financial statements are prepared and audited in accordance with international standards and the IFRS format since 2008, in accordance with the new law. Economy-wide standards are moving toward, but are not yet fully compliant with, IFRS owing to the short time frame. Market leader, Al Amana, received the 2006 CGAP financial transparency award, stating 87% conformity with IAS. Smaller MFIs lack capacity and sufficient resources to fully comply with accounting good practice. (IMF Financial stability report 2008; personal interviews: May-June 2009; Loi 18-97.)</t>
  </si>
  <si>
    <t xml:space="preserve">The Accounting Standards Board (ASB) is an independent statutory body with the responsibility to set and issue accounting standards for preparation and presentation of financial statements in Nepal. Since 2007 the ASB has also been entrusted to develop accounting standards for the public sector in line with the International Accounting Standards. To date, the results of those efforts have been limited, a problem compounded by the political instability and its resulting impact on the economy. Consequently, standards for accounting remain weak at best. However, in the microfinance industry, the NRB’s requirement for audited financial statements has sped up the adoption of accounting standards. (PlaNet Finance 2008; personal interviews: June 2009; Deloitte IAS PLUS.) </t>
  </si>
  <si>
    <t>While there are no data relating to the accounting standards specifically for MFIs, the World Bank's Report on Observation of Standards and Codes for Accounting and Auditing notes “institutional weaknesses in regulation, compliance, and enforcement of standards and rules” with regard to accounting principles. IFRS has not been implemented, but a ratings agency, Fitch, reports that the CBN is backing moves that would require Nigerian banks to adopt IFRS. The Nigerian Accounting Standards Board is a parastatal that operates independently of government, but does not have an enforcement mechanism. (Reuters; World Bank, ROSC 2009.)</t>
  </si>
  <si>
    <t>Legal and regulatory risk is constrained by an inefficient judiciary. A complex bureaucracy causes substantial delays in most legal procedures. In recent years, governments have taken steps to modernise the judicial system and curb widespread corruption. Legal codes were reformed, leading to changes, such as the establishment of oral arguments and more modern investigations. However, corruption allegations against Supreme Court judges remain common. Furthermore, reform efforts will continue to be partly offset by remaining problems, such as understaffed courts, lack of proper training and political patronage. Protection of intellectual property rights is poor. The risk of private property expropriation remains low, but may increase in 2009-10 if Mr Lugo advances his agenda for a far-reaching land reform. There is no legal discrimination against foreign companies, but regulation of unfair competitive practices remains weak. Regulatory agencies for most sectors are still being established. (Economist Intelligence Unit, Risk Briefing, July 2009.)</t>
  </si>
  <si>
    <t>Judicial corruption was endemic under the Fujimori regime, and efforts to clean up the system will take years, with the judiciary the least trusted of all public institutions. Although the legal system is less politicised now, domestic courts still lack impartiality and strength. A judicial reform commission was set up in 2004 but its recommendations have largely been ignored. Many judges are open to bribery, the justice system is ineffective and increases in spending have brought little result because money has been absorbed by the bureaucracy and in higher salaries. Litigation to recover debts can cost up to half the amount being contested, leading businesses to prefer trusted suppliers and customers, and discouraging competition. Decentralisation should lift transparency and accountability in the political process. Despite solid legislation, intellectual property rights are still violated, owing to under-policing. (Economist Intelligence Unit, Risk Briefing, July 2009.)</t>
  </si>
  <si>
    <t>Although it is not common, Philippine governments have previously expropriated foreign-owned assets. The legal system, based mainly on Anglo-American law, is adequate. However, the courts can be slow to rule and are not above manipulation by domestic elites. Judges and lawyers routinely face intimidation. There is also a tendency for the courts to hand down controversial rulings, such as the decision by the Supreme Court in January 2004 to declare as unconstitutional parts of the 1995 Mining Act permitting full foreign ownership of mining operations. Although the ruling was reversed 11 months later, the foreign-invested mining sector remains beset by legal challenges owing to opposition from the Roman Catholic church, environmental groups and some local miners. The regulatory regime is generally transparent, with policy debate usually open, but vested interests continue to influence the regulatory system to their advantage. Intellectual property is not always protected. (Economist Intelligence Unit, Risk Briefing, July 2009.)</t>
  </si>
  <si>
    <t>The judiciary is constitutionally independent and its rulings are binding on the executive and the legislature. Appointed by the government and kept on a tight funding leash, it has never displayed much de facto independence and can usually be relied on to deliver verdicts favourable to the authorities. Rwanda lacks specialised commercial courts, which can make the resolution of commercial disputes a difficult matter. A law establishing commercial courts was approved by ministerial council in December 2006 and the first ones are scheduled to open during 2008. An Anti-Corruption Commission was established in 1999, composed of 12 civil servants, but it has a low profile and is overshadowed by the more powerful parliamentary multiparty forum. According to the World Bank Doing Business project, Rwanda ranks higher than the regional average in enforcing contracts in terms of number of procedures, but lags in costs and duration. (Economist Intelligence Unit, Country Profile, April 2008; World Bank, Doing Business 2009.)</t>
  </si>
  <si>
    <t>Senegal has a relatively well-developed legal framework, reformed to boost private investment. There are no restrictions on partnerships between local businesses and foreign investors. Foreign majority ownership is allowed, except 100% ownership in key strategic industries, such as electricity, mining and water. But the application of law can be selective and enforcement arbitrary. The 2004 Investment Code regulates foreign investment. Senegal is a member of the International Centre for the Settlement of Investment Disputes (ICSID), the Multilateral Investment Guarantee Agency (MIGA) and the treaty of the Organisation pour l'harmonisation en Afrique du droit des affaires (OHADA), which provides a legal framework to govern business law in the Franc Zone and includes a dispute-settlement mechanism. The execution of judicial decisions is weak and encumbered with administrative difficulties. The court system suffers from a lack of trained staff and from the failure to abide by established procedures. (Economist Intelligence Unit, Risk Briefing, July 2009.)</t>
  </si>
  <si>
    <t>The legal framework is relatively advanced and based upon the British system, but the judiciary suffers from political interference. The country suffers from a shortage of judges, and the competence of some is open to question. Contracts are generally enforced, but decisions by the authorities have on occasion been arbitrary and capricious. Sri Lanka has signed a number of conventions relating to intellectual property rights and the protection of assets purchased by foreign investors. Foreign investment is encouraged in most sectors of the economy, with few restrictions on activities. Transparency in financial accounting remains opaque, but is improving. (Economist Intelligence Unit, Risk Briefing, April 2009.)</t>
  </si>
  <si>
    <t>Notwithstanding the current boom in lending resulting from captive liquidity, government borrowing will continue to crowd out productive lending during the forecast period. Commercial bank lending to the private sector has risen in the past year, but remains low by regional standards. Even for the most creditworthy corporations, long-term finance will remain hard to secure. The government will attempt to enforce the expansion of credit to certain sectors, such as agriculture. However, financial intermediation is not set to develop in a sustainable fashion until confidence in macroeconomic prospects is underpinned by a track record of reform and stability. In the past, large companies have raised finance internationally, but this is now more difficult, as exchange controls hamper access to foreign currency for the payment of interest and amortisation obligations. The Caracas stock exchange is small and illiquid and likely to remain a poor source of corporate finance. (Economist Intelligence Unit, Risk Briefing, July 2009.)</t>
  </si>
  <si>
    <t>The dong is being managed more flexibly under the current crawling-peg exchange rate system. Excessive depreciation will be avoided, if possible, by the desire not to add to inflationary pressure or to raise the cost significantly of those state-owned enterprises that owe US dollar-denominated debt. The government is moving towards a market-determined interest-rate regime and will widen further the trading band within which the dong is traded. Domestic banks are poor providers of investment finance, reflecting longstanding structural and regulatory weakness in the sector. The stock market is volatile and remains an insignificant source of finance. Foreign participation in the financial sector will gradually improve under the conditions of Vietnam's membership of the World Trade Organisation (WTO). (Economist Intelligence Unit, Risk Briefing, July 2009.)</t>
  </si>
  <si>
    <t>The banking sector suffers from a large volume of non-performing loans (NPLs), low capitalisation levels and weak enforcement of prudential standards. The bankruptcy of the small Al Watani bank in 2005 was a worrying reminder of the precarious nature of Yemen's banking system, although the relatively quick intervention of the Central Bank was seemingly enough to prevent the crisis spreading. Most Yemenis do not possess a bank account, leaving banks mainly dependent on making money through letters of credit and buying Yemeni Treasury bills. As a result, profitability in the sector is low, with the local banks reporting an aggregate profit of just US$100m in 2007. The government has stated its intention to set up a stock market in the country, but this does not appear imminent. (Economist Intelligence Unit, Risk Briefing, July 2009.)</t>
  </si>
  <si>
    <t>In 2002 the abandonment of the currency board and its associated dislocations, including the conversion into local currency of dollar deposits, shattered confidence in the economic and political system built up over the previous decade. The Kirchners have failed to restore confidence, as they have been slow to rectify the setbacks of recent years, prioritising the maintenance of political support instead. Government intervention and policy improvisation will increase owing to recession, heightening legal and regulatory risk. The government has been forced to liberalise transport and utility tariffs owing to fiscal pressures, but contract security with owners of privatised utilities will be mixed. Regulatory risks to business in the form of compulsory price agreements, which began to be used to combat inflation in late 2005, will continue. (Economist Intelligence Unit, Risk Briefing, July 2009.)</t>
  </si>
  <si>
    <t>With a respected former governor of the Central Bank of Armenia heading the cabinet, the government is likely to make some progress in tackling corruption within the tax and customs administrations, strengthening the rule of law, and ensuring fair business competition. However, given the close links between political and business circles in Armenia—and the fact that the president relies on these circles for support—vested interests will still present a significant obstacle to more open and transparent policies. In a follow-up resolution adopted in January 200, the Parliamentary Assembly of the Council of Europe (PACE) said, citing assurances given by Armenian officials, that the promised changes in the two clauses of the Criminal Code should pave the way for the quick release of most of the arrested oppositionists. However, more than 50 of them remained in jail by the time the Strasbourg-based assembly held its next session in late April. The PACE did not include the issue on the session agenda—in effect, extending its sanctions reprieve for the Armenian authorities by at least three more months. (Economist Intelligence Unit, Country Profile, March 2008; Economist Intelligence Unit, Country Report, May 2009.)</t>
  </si>
  <si>
    <t>Corruption of the judicial system in Uganda tends to increase at lower levels of authority. At the top, the high court has proved itself independent from the executive and legislature on a number of occasions, to the extent that Mr Museveni has accused judges of bias against the ruling National Resistance Movement (NRM). At the local and district levels things tend to be worse, with magistrates frequently known to ask for a bribe to "hear the case properly". Bias against foreign-owned firms can be a problem if the case involves Ugandans with strong political links. The judicial system tends to be slow, although it compares favourably to many African countries, and little has been achieved in establishing legislation and expertise to deal with cases of unfair competition or disputes over intellectual property. Private property tends to be well protected, although a lack of capacity at the land registry does occasionally lead to ownership disputes. (Economist Intelligence Unit, Risk Briefing, July 2009.)</t>
  </si>
  <si>
    <t>Uruguay's judiciary is independent, but the trial process is slow and decisions can be opaque. Regulatory risk is high because productive activity is heavily influenced by large state-owned institutions, with substantial sway over regulatory policy. The practice whereby regulators sometimes give domestic companies preference over foreign ones will probably continue. Intellectual property rights are recognised, but weakly enforced. The level of political influence over the judiciary came into focus in early 2008 when the Supreme Court ruled that the introduction of an income tax on pensioners (implemented in 2007) was unconstitutional. Parts of the FA appeared to put pressure on the Supreme Court to reverse its decision, potentially harming Uruguay's reputation for judicial independence. So far, however, this is an isolated incident. (Economist Intelligence Unit, Risk Briefing, July 2009.)</t>
  </si>
  <si>
    <t>The legal and regulatory system is weak and deteriorating, with an inefficient judiciary, an unstable regulatory framework, and government encroachment on contract and property rights. Acceleration of land reform, the nationalisation of utilities and the development of "co-management" demonstrate the risks to property rights. Revision of mining, oil and utilities agreements will sustain uncertainty over contract rights. There is a risk that foreign companies will be discriminated against, or a contract will not be enforced, and in the event of a dispute, effective means of arbitration are few. Without progress on judicial reform, the court system will remain inefficient. Protection of intellectual property rights is poor, as is regulation of unfair competitive practices. Competition will be undermined by the acceleration of the state-led development model. Price controls on a broad range of goods (first imposed in 2003 as an emergency measure) will remain in place for the foreseeable future. (Economist Intelligence Unit, Risk Briefing, July 2009.)</t>
  </si>
  <si>
    <t>The judiciary is not held in high esteem; there is no system of common law and decisions are often arbitrary. Interference in the legal process and the bribing of judges to serve particular interests is common. Contractual arrangements are backed by the force of law, but the legal system is complicated. Contractual disputes often involve a prolonged period of negotiation preceding any attempt to resolve the matter in court. Abuses of copyright and industrial property are widespread and enforcement is weak, although the government has been strengthening the legislative and regulatory framework to enforce intellectual property rights. The risk of foreign assets being expropriated is much reduced compared with earlier in the reform period. (Economist Intelligence Unit, Risk Briefing, July 2009.)</t>
  </si>
  <si>
    <t>The Yemeni legal system suffers from a lack of qualified judges and a high level of executive interference. Cases are typically drawn out and implementation of verdicts is inconsistent. Officially, the government has eased entry requirements for foreign firms and equal treatment is guaranteed for all investors, both domestic and foreign. However, in practice, foreign firms still suffer from a range of disadvantages compared with their local counterparts, ranging from the proliferation of bribery among officials to the difficulties in enforcing contracts. Additionally, many in government and parliament are unenthusiastic about opening the domestic market to foreign participation, and as a result have hindered the liberalisation of the country's foreign investment climate. (Economist Intelligence Unit, Risk Briefing, July 2009.)</t>
  </si>
  <si>
    <t xml:space="preserve">The Accounting Law of 1995 and the Banking Law of 1996 assign standard-setting responsibilities to the Ministry of Finance and to the NBA, respectively. Although not required by law, most MFIs follow international accounting standards to attract foreign funding. Legally, MFIs follow procedures laid down in the National Accounting Standards for Commercial Organisations (NASCO), which were approved in 2007 by the finance ministry. These were based on International Financial Regulatory Standards (IFRS). The banking sector in Azerbaijan, as well as large, strategically important corporations, are required to use IFRS in the preparation of their financial statements. (Newly Independent States Policy Forum on Microfinance Law and Regulation in Azerbaijan, 2003; Azerbaijan Microfinance Association, 2007; personal interviews: June-July 2009.) </t>
  </si>
  <si>
    <t>Bangladesh does not permit the use of IFRS by domestic listed companies, but has adopted IFRS as Bangladesh Financial Reporting Standards. According to the Institute of Chartered Accountants in England and Wales (ICAEW), there are only 750 chartered accountants in Bangladesh out of a population of 159m, which explains the generally limited quality of financial reporting among companies and MFIs. ICAEW is working with the Institute of Chartered Accountants in Bangladesh on upgrading accounting standards, IFRS training and audit quality. (Personal interviews: June 2009; Deloitte IAS Plus; Institute of Chartered Accountants of Bangladesh; Institute of Chartered Accountants in England and Wales.)</t>
  </si>
  <si>
    <t>Economy-wide, Bolivia's accounting and auditing standards are limited in scope and, on those technical areas where they exist, diverge from IFRS and International Standards of Auditing (ISA). IFRS are permitted, but not required for domestic listed companies. The IMF and other multilateral agencies are currently providing technical assistance to the government to speed the development of IAS, the professional capacity of auditors and accountants, and the use of IFRS by Bolivian companies. However, the ASFI enforces stricter standards among financial institutions, and there is considerable self-regulation among NGOs through voluntary associations. (IMF Donor Memorandum, November 2006; personal interviews: August 2008, May 2009; Deloitte/IAS PLUS; Heritage Foundation, Index of Economic Freedom.)</t>
  </si>
  <si>
    <t>A majority of MFIs follow IFRS accounting standards, and the level of compliance is high. Accounting statements are governed by the provisions of the Law on Accounting, the International Accounting Code, and International Accounting Standards. The Standards were adopted in accordance with international accounting standards and relevant EU instructions. (MIX Market report, 2008; personal interviews: May-June 2009.)</t>
  </si>
  <si>
    <t>Among regulated institutions, companies such as banks listed on the Novo Mercado section of the stock market must use GAAP. Elsewhere among listed firms and institutions (only four banks at present are engaged in microfinance, although the Banco do Nordeste dominates national market share), international standards or transparent local standards that are readily interpreted and moving in the direction of international norms are used. Financial institutions must use IFRs from 2009, and all listed companies from 2010, although they are not permitted for non-listed corporate entities. A basic shortcoming in accounting for all institutions is that there is no requirement or practice of separating out microfinance from other portfolios (for example, agricultural consumption, or housing credits). NGOs are not supervised and do not have uniform or internationally compatible accounting standards. Accounting standards applied by the justice ministry (to OSCIPs) and by the labour ministry (to those operations by any MFI which are based on FAT governmental resources) have been inconsistent with each other, not based on IAS, and have created confusion for a range of MFIs that tap into them. However, from 2010 OSCIPs will be obliged to adopt a unified accounting plan. (Economist intelligence Unit, Country Commerce, September 2008; personal interviews: July-August 2008, May 2009; Deloitte/IAS PLUS.)</t>
  </si>
  <si>
    <t xml:space="preserve">The Law on Corporate Accounts, Their Audits and Accountancy Profession outlining 15 Cambodian Accounting Standards and ten Cambodian Standards on Auditing became effective only in January 2005. The National Accounting Council (NAC) created by this law was founded to prepare the accounting and auditing standards, and the Kampuchea Institute of CPA and Auditors (KICPAA) was set to train and manage guide professional accountants. However a deficiency in human and financial resources and the short time frame in which standards had to be implemented, meant that the NAC was unable to assimilate all the features of the system. The KICPAA is working with the Association of Chartered Certified Accountants of the United Kingdom to train Cambodian civil servants and students wishing to become accountants or auditors. The NAC expects 70-90 trainees will successfully complete their training by end-2009. In the microfinance sector, the desire to attract international investment has been a strong incentive for the larger MFIs to adopt international accounting standards and submit themselves to outside audits. (World Bank 2007; PlaNet Finance 2008; personal interviews, June 2009; Deloitte IAS PLUS.) </t>
  </si>
  <si>
    <t>The legal and regulatory environment is favourable to business. The judiciary is independent, and it is highly unlikely that future governments will violate this well-established provision of the Constitution. However, the problems of the slowness and complexity of the judicial process are not expected to be solved over the forecast period as this is in large part a function of the occasionally contradictory national Constitution. The right to own private property is well entrenched, with the exception of real estate, which will continue to be at risk from squatters. Foreigners are expected to continue to have virtually the same access as domestic firms to investment opportunities. Concern relating to the enforcement of intellectual property rights has lessened, following the passage of a reform in 2008 connected to the Dominican Republic-Central American Free-Trade Agreement (DR-CAFTA). (Economist Intelligence Unit, Risk Briefing, July 2009.)</t>
  </si>
  <si>
    <t>The slow and ineffectual judicial process and weaknesses in the regulatory framework are the main contributors to legal &amp; regulatory risk. The risk that a contract will not be enforced is moderate. The national business lobby has won tax and regulatory concessions, but overt discrimination against foreign companies is minor, and the entry into force of DR-CAFTA in March 2007 provides increased protection against such discrimination. There is little risk of expropriation of assets, and protection of private property is fairly effective. The judiciary is weak and prone to corruption, although the Supreme Court is regarded as being reasonably independent. However, the regulatory framework in sectors such as energy is subject to changes, and political interference in regulatory bodies, as evidenced by the handling of the 2003 banking crisis, prevails. The practice of dual accounts in companies for tax evasion purposes is common. Protection of intellectual property rights is poor, but likely to improve. (Economist Intelligence Unit, Risk Briefing, July 2009.)</t>
  </si>
  <si>
    <t>The judiciary has for decades been underpaid, undertrained and intimidated by the executive, and there is a nationwide shortage of court rooms and magistrates. Despite this, there are many good legal minds in the country, and the quality of legal opinion offered is often high. Yet cases typically move at a torturously slow pace, and are too frequently decided not on merit, but on the size of the bribe on offer, to the detriment of the credibility of the legal system. According to the World Bank Doing Business project, the DRC lags the regional average in enforcing contracts in terms of number of procedures and cost; however. the process is more expedient. (Economist Intelligence Unit Country Profile, September 2008; World Bank Doing Business 2009.)</t>
  </si>
  <si>
    <t>The judiciary is highly politicised and bribery is a major problem. Property rights are protected by legislation, but enforcement is weak. There is no competition or anti-trust law enforcement. Regulators are subject to political pressure. Many sectors of the economy are monopolistic, although there are recent signs of improved competition in some sectors, such as telecoms and brewing. There are practical barriers to foreign competition, and many foreign investors have received unfair treatment. Following a long-standing dispute, the government announced in May 2006 the annulment of the contract with a US oil company, Occidental. Intellectual property protection is improving, although serious deficiencies remain. The new constitution has changed the make-up and hierarchy of the courts (that is, the Supreme Court is now called the National Court of Justice and is subordinate to a new Constitutional Court), increasing confusion and further politicising the judicial branch. (Economist Intelligence Unit, Risk Briefing, July 2009.)</t>
  </si>
  <si>
    <t>The judiciary is inefficient and politicised, which means that contractual agreements are often not respected and the protection of property rights is not guaranteed. Efforts to make the judicial system more effective will be constrained by the lack of political will and weak institutional capacity. The system is also extremely slow. The time required to prosecute and pass judgement on a case can be many years. The regulatory system remains opaque, despite some advances in transparency in recent years. Private property rights are respected, and intellectual property protection should improve under the terms of the Dominican Republic-Central American Free-Trade Agreement (DR-CAFTA) with the US. Company accounts are frequently unreliable. (Economist Intelligence Unit, Risk Briefing, July 2009.)</t>
  </si>
  <si>
    <t>Legal and regulatory risk is high. The court system is extremely slow and its independence is jeopardised by government intervention. Additionally, the judicial system is under-staffed and lacks experience in commercial matters. Enforcement of contracts is likely to prove difficult, and bias against foreign firms is prevalent when the interests of influential local businesses or politicians are involved. There have been no announcements of plans to establish commercial courts, and the system is not expected to improve in the short-to-medium term. Laws are in place to protect intellectual property, but enforcement is inconsistent and unreliable. At present, all land titles belong to the state, although long-term leases can sometimes be arranged. (Economist Intelligence Unit, Risk Briefing, July 2009.)</t>
  </si>
  <si>
    <t>The court system has as its highest bodies the Supreme Court and the Constitutional Court. The heads of both institutions are appointed by the president. There has been substantial international support for court reform, and judges now have to pass tests before appointment. However, corruption remains in the legal system, which is held in low esteem by the public. Since the Rose Revolution, a number of older judges have been replaced, supposedly on grounds of incompetence or corruption; however, many of their replacements have been younger judges with close links to Mr Saakashvili and the National Movement. This has led to charges by opposition leaders and representatives of NGOs that the judiciary remains under the control of the president and the prosecutor's office. (Economist Intelligence Unit, Country Profile, October 2008.)</t>
  </si>
  <si>
    <t>Ghana has a relatively well developed legal system that is based on British common law. Although there are incidents when the government has become involved in the legal process to try to influence rulings, these are rare in commercial disputes and the courts have still ruled against the government. However, the legal process is very slow and getting legal rulings enforced can be even slower, if it is possible at all. As part of its efforts to open up the economy, the government has established a range of regulatory bodies, such as the Minerals Commission, the National Communications Authority and the Public Utilities Regulatory Commission. However, it is not clear how effective and independent they will prove to be, especially given the resource constraints they face. Enforcing intellectual property rights is difficult. In 2001, as part of a process to speed up judiciary processes, the chief justice established Fast Track High Courts. (Economist Intelligence Unit, Risk Briefing, July 2009.)</t>
  </si>
  <si>
    <t>Guatemala's courts are slow and inefficient, with a large backlog of cases. The system is poorly administered and frequently corrupt. Efforts to make the judicial system more effective form part of the government's agenda, but progress will be constrained by weak institutional capacity. Protection of intellectual property rights is improving following the tightening of legislation, but breaches remain frequent and perpetrators are hard to prosecute. Most price controls have been abolished, but many goods and activities receive government subsidies. The legal code outlaws expropriation and practices that discriminate against foreigners, and is generally respected. There is no anti-trust legislation, permitting monopolies to operate in some sectors. (Economist Intelligence Unit, Risk Briefing, July 2009.)</t>
  </si>
  <si>
    <t>The judiciary is mired in incompetence and corruption, partly owing to inadequate pay, infrastructure and logistical support, and partly owing to a deeply engrained culture of bribery to influence judicial decisions. The legal code is antiquated, and although the constitution provides for the separation of powers, in practice judges are not independent. Politically motivated interference in the judicial process is widespread. More troubling for ordinary citizens is the fact that when arrests are made, the system is virtually incapable of conducting trials. According to the World Bank Doing Business project, Haiti ranks higher than the Latin American and Caribbean region in enforcing contracts in terms of number of procedures, cost and duration of days. (Economist Intelligence Unit, Country Profile, September 2008; World Bank Doing Business 2009.)</t>
  </si>
  <si>
    <t>The judicial system often shows bias and is slow, inefficient and open to manipulation. The system for selection of high court judges was reformed in 2002 to reduce political influence—Supreme Court judges are now selected from a broad-based panel rather than political parties, but the judiciary is still open to corruption and political influence. While progress has been made on replacing judges deemed to be performing poorly, further initiatives to make the judicial system more independent and effective will be constrained by the attention policymakers must give to acute policy concerns, such as the economy, and by weak institutional capacity. The law protects intellectual and industrial property rights, but is frequently ignored. Property rights are not always clearly established. The enforceability of contracts and speediness of the judicial process will remain a problem. (Economist Intelligence Unit, Risk Briefing, July 2009.)</t>
  </si>
  <si>
    <t>India's legal system is relatively impartial, free and fair. It is also notoriously slow, and criminal evidence techniques remain antiquated. Disputes often take decades to resolve and, as a result, many foreign companies build in clauses allowing for international arbitration of disputes. The regulatory system is not immune from policy reversals, owing to pressure from vested interests and inter-ministry rivalries. However, more transparent regulatory systems are being introduced in previously under-regulated sectors. For instance, as the power sector is broken up, and new regulatory bodies are being established. The risk of outright nationalisation is very small. (Economist Intelligence Unit, Risk Briefing, July 2009.)</t>
  </si>
  <si>
    <t>The government passed legislation to reform the judiciary in 1999, but this institution remains deeply corrupt and legal and regulatory risk is still high. Contract enforcement is problematic, and courts discriminate against foreign investors. The judicial process is slow and its independence jeopardised by bribery. An anti-corruption court has been established in an attempt to improve the conviction rate in cases of large-scale corruption. Mr Yudhoyono's government has introduced measures to reform the legal system, raise judicial standards and tighten enforcement, but these measures are being resisted by vested interests in the judiciary. Expropriation risk is a concern for companies that have high-profile investments in sectors that directly affect the public, such as utilities. Although appropriate legislation exists for the protection of intellectual property, ineffectual enforcement will continue to place investors at a high level of risk. (Economist Intelligence Unit, Risk Briefing, May 2009.)</t>
  </si>
  <si>
    <t>The Nepal Stock Exchange (NEPSE) opened its floor to trading in 1994. The performance of the index has been generally poor, owing to weak management, the lack of a corporate culture in the country, the poor performance of listed companies (particularly manufacturing firms), and a lack of understanding of the equities market on the part of companies and the general public. In mid-July 2007 Nepal had 135 companies listed on the NEPSE, including 53 financial institutions and 21 manufacturing units. The market was fairly buoyant until 2007/08, and the index ended 2006/07 at 683.95, representing a rise of 76.1% year on year. The finance and real estate sectors contributed 3.9% and 7.3% of GDP, respectively, in 2006/07. Financial intermediation expanded by 8.6% in real terms, while real estate, renting and business activity grew by 8.7%. However, given the large share of GDP contributed by the agricultural sector (around 33%) and the fact that the sector employs the majority of the population, crop-growing conditions will remain the most important determinant of overall economic growth. Because of this, Nepal will remain fairly insulated from the effects of the global financial crisis. (Economist Intelligence Unit, Country Report, May 2009.)</t>
  </si>
  <si>
    <t>The rapid decline in Nicaragua’s current account deficit in the wake of lower demand for imports and renewed multilateral budget support has bolstered confidence in the currency. In June 2009 international reserves were virtually flat compared with end-2008. The risk of a devaluation and debt default has therefore diminished. Borrowing costs in Nicaragua are high because the financial markets are shallow and the international liquidity squeeze has disrupted bank credit lines. There are few banks, all owned by local interest groups, and the quality of borrowers is poor. The cost of capital is such that foreign companies are unlikely to access the local financial market. The financial system has suffered a number of bank collapses over the past few years, including the forced intervention of one of the largest banks, Banco Nicaragüense de Industria y Comercio (Banic). Bank assets are predominantly in the form of Central Bank paper. (Economist Intelligence Unit, Risk Briefing, July 2009.)</t>
  </si>
  <si>
    <t>The implementation of the new minimum capital requirement legislation in January 2006 has resulted in a major reform of the banking system, with the number of banks falling from 89 to only 25. The dozen or so that failed to merge with other banks, or raise the new capital via the stock market or new investment from parent companies, are in the process of being liquidated. It is clear that those banks that have met the new capital requirements are, in general, better capitalised and managed than in the past. But many will still have to make major efforts to unify and reform their internal management, business culture and information technology structures in the coming 12 months. It is also clear that the central bank still feels that there are too many banks whose capital bases are small in comparison with South Africa and the rest of the world. As such, it wishes to promote a second wave of consolidation. The Nigerian Stock Exchange is illiquid and over-regulated, but has performed well in recent years. (Economist Intelligence Unit, Risk Briefing, July 2009.)</t>
  </si>
  <si>
    <t>In light of Pakistan's poor economic fundamentals and the global financial crisis, which has increased investor risk aversion, the Pakistan rupee is set to remain under pressure. There are few formal restrictions on foreign companies securing local financing. Although the banking sector is stronger than it has been in the past, owing to a reduction in the level of non-performing loans (NPLs), relatively low levels of risk-assessment during the recent credit boom mean that bad loans could increase again as the economy slows and interest rates rise. The stock market is dominated by a few large companies. Although it was one of the emerging world's best-performing markets in 2006-07, it lost more than 40% of its value in 2008 as investors registered concerns about the country's political and economic prospects. (Economist Intelligence Unit, Risk Briefing, May 2009.)</t>
  </si>
  <si>
    <t xml:space="preserve">Mongolia's judicial system is relatively new, having been established by the 1992 constitution. The judiciary is independent and consists of a Supreme Court and lower courts, as well as specialised civil, criminal and administrative courts that are not subject to Supreme Court review. There is also a separate court for resolving constitutional issues. Some laws, particularly those relating to financial transactions, may not be adequate to protect the rights of citizens. Corruption is also likely to hamper the effective running of the judiciary; in Transparency International's 2009 Global Corruption Barometer Report, Mongolia was one of 11 countries in which the judiciary was the single institution perceived to be most affected by corruption. Land and property rights are under-developed, since the legal concept of private property itself is relatively new, but steps are slowly being taken to remedy this. Contract enforcement is relatively time-consuming and there is a relatively heavy weight given to informal, rather than formal, enforcement. (Economist Intelligence Unit analysis July 2009; Economist Intelligence Unit Country Profile, April 2008; Economist Intelligence Unit, Country Report, May 2009). </t>
  </si>
  <si>
    <t>Legal and regulatory risk is moderate. The judiciary is slow-moving and unreliable. Foreign companies in Morocco seldom use the local courts, and are more likely to resolve disputes through arbitration. The creation of new commercial courts has, however, begun to improve the environment for foreign firms. Contracts are generally enforced, and there have been no recent instances of the expropriation of foreign property. However, competition policy is not well developed, and there are few safeguards against anti-competitive practices. Tax regulations are opaque and time-consuming. The customs system has been notoriously slow and inefficient, although improvements are being made. Intellectual property rights are not well enforced although some improvements are being made as a result of the free-trade agreement (FTA) with the US (implementation began in January 2006). Price controls exist for a number of goods, such as fuel products. (Economist Intelligence Unit Risk Briefing, July 2009.)</t>
  </si>
  <si>
    <t>The Mozambican legal system is antiquated and complex. Owing to the protracted civil war, an entire generation of legal talent is missing from the country, making reform extremely hard. The law offers basic protection for bureaucratic and administrative disputes, but is a costly and complex process, which, in the absence of powerful political or legal connections, requires expert legal advice. The Supreme Court runs poorly as an oversight body, but corrects the most egregious infringements of the law. At local and district levels the judiciary is totally inefficient, and in the absence of a "first-in, first-out" policy cases can drag on for years. The generally poor level of education means that most Mozambicans are unaware of their basic rights, leading to widespread abuses of property, labour and civil rights. Corruption in the judiciary is less of a problem than it used to be, but remains endemic. (Economist Intelligence Unit, Risk Briefing, July 2009.)</t>
  </si>
  <si>
    <t>Property rights are weak and land reforms have not yet been completed, owing partly to the legacy of communist influence in the country and the hostility of groups like the Young Communist League to private enterprise. Contract enforcement is inefficient and very time-consuming, which is in large part owing to the fact that Nepal has only recently emerged from a decade-long civil war, and the entire political and constitutional system is still in flux. Parliament makes laws, but the constituent assembly is highly ineffective. There is as yet no final provision for an independent judicial system, since there is as yet no constitution; the constituent assembly, elected in 2008, is tasked with drafting a new constitution. The 2007 interim constitution provides for an independent judiciary with a Supreme Court, Appellate courts and district courts, in addition to a separate court for resolving electoral disputes. The Supreme Court chief justice is appointed by the prime minister, and, given the highly politicised nature of appointments in Nepal and strong vested interests among all political players, transparency and independence of the judicial system remains questionable. Corruption is a serious problem, including in the judiciary, and this also reduces the likelihood that dispute resolution will be fair and consistent. (Economist Intelligence Unit, Country Report, May 2009.)</t>
  </si>
  <si>
    <t>The judiciary is inefficient and highly politicised, which means that contractual agreements are often not respected and the protection of property rights is limited. The Supreme Court's judges are affiliated to either the Partido Liberal Constitucionalista (PLC) or the Frente Sandinista de Liberación Nacional (FSLN, the Sandinistas). Supreme Court judges appoint judges to lower courts. Despite the implementation of the new criminal code at the end of 2002, the judiciary remains politicised—the judicial career law was amended in such a way by the legislature as to justify the control of the FSLN and the PLC over the judiciary. Moreover, the likely renewal of the PLC-FSLN pact in 2010 will leave the judiciary firmly under the control of the two parties. It is unlikely that the Ortega government will act to reform the judiciary. Red tape is pervasive and likely to remain a constraint on investment. (Economist Intelligence Unit, Risk Briefing, July 2009.)</t>
  </si>
  <si>
    <t>Nigeria is a highly litigious society, no less in commercial disputes than personal, but the process of taking a case though the courts can be tortuous and slow. Trials can last for several years, with subsequent appeals up to the Supreme Court running over a similar timeframe. For this reason, many companies specify alternative dispute-resolution procedures in contracts. The World Bank recently estimated that one-third of disputes were resolved prior to going to trial. Although a wide variety of regulatory frameworks exist in Nigeria, many are only weakly enforced. There is also a possibility that previously established regulations can be changed abruptly, although Nigeria's membership of the World Trade Organisation (WTO) and its wider acceptance in the international community following the end of military rule in 1999 promises some stability. (Economist Intelligence Unit, Risk Briefing, July 2009.)</t>
  </si>
  <si>
    <t>The legal system is slow, and bribery is common. The government sometimes exercises considerable influence over legal deliberations. The 1999 military coup was given legitimacy by a ruling of the Supreme Court. A Legal Framework Order was put in place in August 2002, and was used to appoint General Pervez Musharraf as president and to conduct elections in October. Most Supreme Court judges were suspended and arrested after General Musharraf declared a state of emergency in November 2007; only those who agreed to sign his "provisional constitutional order” were allowed to remain. The restoration of these judges remained a source of intense conflict between the two main political parties, until it was resolved following political turmoil and the threat of large-scale protests in March 2009. Pakistan has sought to counter perceptions of high political risk by introducing liberal investment policies. These policies are likely to be continued. (Economist Intelligence Unit, Risk Briefing, May 2009.)</t>
  </si>
  <si>
    <t>The authorities recognise the importance of foreign investment for the development of the country's service sector and try to ensure even-handed treatment of foreign and domestic investors. Property rights are enshrined in law and contracts are generally enforceable in court. However, the legal system and civil service both suffer from corruption and a lack of independence, which can put outsiders at a disadvantage. Laws to combat money-laundering have been tightened in response to pressure from the OECD, but Panama remains on its “grey” list of uncooperative tax havens for its failure to improve transparency. The government encourages free trade and competition. A consumer defence commission regularly initiates proceedings against companies deemed to be engaging in anti-competitive practices, although some of these get bogged down in the courts. Enforcement of intellectual property rights is inadequate. The Colón Free Zone (CFZ) is considered to be a major transit point for counterfeit goods. (Economist Intelligence Unit Risk Briefing, July 2009.)</t>
  </si>
  <si>
    <t>The financial services sector is relatively small, contributing only 5% of GDP, but has been expanding, growing by over 20% in each of the past two years. Eight commercial banks operate in Rwanda, five of them established since 1994. The largest bank is Banque de Kigali (BK), which the government took control of in January 2007 when it repurchased 50% of its shares from a Belgian bank, Belgolaise, which pulled out in 2005. However, the government has stated its intention to re-privatise the bank once a suitable investor can be identified. Recent banking scandals have highlighted the need to tighten banking supervision, and this is in progress, guided by a financial sector assessment plan adopted by the government in consultation with donors in 2005. The Rwandan franc has held its ground against the US dollar for two years, bolstered by rising exports and donor support, and the IMF classifies the exchange-rate system as a conventional peg. However, the Fund recently called for greater currency flexibility in order to meet monetary objectives and to avoid an excessive real appreciation. The move from a weekly to a daily setting of the exchange rate in late 2008 and the possible introduction of an interbank foreign-exchange market over the forecast period will allow for increased currency movements. We therefore expect the currency to depreciate against the US dollar in 2009-10 as investors seek the safety of the dollar during the continued financial turmoil. (Economist Intelligence Unit, Country Profile, April 2008; Economist Intelligence Unit, Country Report, May 2009.)</t>
  </si>
  <si>
    <t>Senegal has a relatively diversified financial sector by African standards, with 17 banks and several microfinance institutions. Three banks hold around two-thirds of all deposits and loans. The government continues to hold a share of more than 25% in seven banks. This relatively high government stake makes political pressure to lend more likely than in other West African countries. Structural constraints on lending mean that banks concentrate on loans to a limited number of large corporations. Although competition in this market is strong, it also means that lending is concentrated in the five largest borrowers. Outside this sector, most lending activity is short-term finance to the commercial sector, with traders, service-providers and manufacturers the key borrowers. Senegal has no domestic stock market, and only two Senegalese companies are listed on the Bourse Régionale des Valeurs Mobilières (BRVM, the regional stock exchange), based in the capital of Côte d'Ivoire, Abidjan. (Economist Intelligence Unit, Risk Briefing, July 2009.)</t>
  </si>
  <si>
    <t>The free-floating exchange rate, in place since 2001, was temporarily replaced with an unofficial peg for much of 2008. The currency has been subject to bouts of volatility, often owing to political instability. Financing in local markets is limited largely to bank credit, although there is a relatively well-developed stock market. Credit ratings agencies have a local presence, which has helped companies raise funds through debt markets. The government has increasingly used the international markets to raise debt. Both the local stock and bond markets will remain illiquid. Foreign companies are able to tap the capital markets, but approval may be required, depending on their status and the currency being sourced. The banking sector has high levels of non-performing loans (NPLs), but most of these are held by state-owned banks and denominated in the local currency. As a result, there is little chance of a banking sector crisis. The supervisory powers of the Central Bank of Sri Lanka have risen in recent years. (Economist Intelligence Unit, Risk Briefing, April 2009.)</t>
  </si>
  <si>
    <t xml:space="preserve">The banking sector has been strengthened significantly in recent years by a combination of regulatory reform, active enforcement of prudential requirements by the central bank and improved macroeconomic stability. However, it remains shallow and vulnerable to shocks. The four largest banks (of which one, Amonatbank, is still state-owned) dominate the sector, holding around 80% of deposits and 70% of non-government loans. The NBT cut the refinancing rate three times in 2008 and twice in 2009, mainly to reduce the cost of government-backed loans to state enterprises; however, in the light of the undeveloped nature of the financial sector, movements in the refinancing rate have little impact on the real economy. Weak institutional capacity and the NBT's low capitalisation will continue to constrain its conduct of monetary policy throughout 2009-10. Some modest improvements can nevertheless be expected in the next year, as reforms of the banking sector should gradually lead to greater operational efficiency of the country's banks and increased public confidence in the sector. Nevertheless, the banks remain at some risk because of the global economic crisis, given that deposits covered less than 40% of the loan base at end-2008. 
A fall in remittances from Tajiks working abroad in 2009-10 will weaken the support base for the local currency, the somoni. Together with a general strengthening of the US dollar against emerging-market currencies, as the global financial crisis and economic downturn lead to greater risk aversion, this will give rise to a nominal depreciation of the domestic currency in 2009-10. (Economist Intelligence Unit, Country Profile, June 2008; Economist Intelligence Unit, Country Report, June 2009.)
</t>
  </si>
  <si>
    <t>Tanzania has a relatively sound financial system, which is dominated by a mix of international, local and regional banks. There are around 25 registered commercial banks in the country, although many only have branches in Dar es Salaam. Credit to the private sector is both limited and short-term (often in the form of overdrafts being constantly rolled over). Interest rates are generally high and especially so on long-term loans. Exchange-rate risk adds to the cost of borrowing externally. Although the Dar es Salaam stock exchange is open to foreign investors, the number of stocks is very limited and in general the exchange is highly illiquid. The financial sector is relatively insulated from the credit crunch, owing to its lack of integration with global markets. However, Tanzania is not immune from the liquidity squeeze and in June the president, Jakaya Kikwete, promises to provide banks with TSh80bn (around US$62m) as working capital. (Economist Intelligence Unit, Risk Briefing, July 2009.)</t>
  </si>
  <si>
    <t>The Thai banking sector has strengthened and lenders are not overly exposed to the problems afflicting banks in the US and Europe. All collateralised debt obligations (CDOs) linked to US subprime mortgages have now been unwound, and Thai banks with CDO exposure have already recognised losses and made full provisioning in line with the IAS 39 international accounting standards. Although Thai banks will not escape the fallout from the global financial crisis, a range of indicators show that they are well placed to face future pressures. The banking system is relatively well capitalised, with the average ratio of capital to risk-weighted assets at 14.7% at end-December 2008, above the minimum of 8% required by the Basel accords. Meanwhile, the proportion of non-performing loans (NPLs) is falling. The stock market has displayed some volatility, and although the local bond market has developed rapidly, it still lacks depth and effective regulation. (Economist Intelligence Unit, Risk Briefing, June 2009.)</t>
  </si>
  <si>
    <t>There is little risk of a significant devaluation; however, there have been strong investment outflows, although underlying macroeconomic conditions suggest pressure for a real appreciation. Local capital markets are developed, with a range of credit instruments available to the private sector. Banking is relatively profitable and well capitalised, while share prices and debt spreads suggest investor confidence in the sector. However, the supervisory framework is weak. Regulators lack sufficient power to oversee cross-border transactions, which have risen rapidly as banks have diversified lending. (Economist Intelligence Unit, Risk Briefing, July 2009.)</t>
  </si>
  <si>
    <t>Since the 2001 crisis, a series of IMF-backed economic reform programmes has lowered financial instability and encouraged major improvements in banking regulation and supervision. Non-performing loans (NPLs) have fallen to around 4% of total credit and capital; adequacy ratios are around 15% compared with a target of 12% and a legal minimum of 8%. Average bank loans/GDP was just 32% at end-2008; the loans/deposits ratio was comfortably below 100%, at 70% in January 2009. Private sector foreign borrowing, which had been rising steadily up to September 2008, but has since started to fall, and domestic lending, will be affected by tighter global credit conditions. But the Central Bank of Turkey has brought forward interest-rate cuts, anticipating lower inflation as a result of lower international commodity prices and weak domestic demand. The deterioration in global economic conditions and the sharp slowdown in Turkey's economy will hurt some weaker banks as private sector defaults are likely to rise, probably leading to further bank consolidation. (Economist Intelligence Unit, Risk Briefing, May 2009.)</t>
  </si>
  <si>
    <t>The financial sector is extremely narrow and dominated by banks. Foreign-owned banks have a strong presence, including banks from the UK, South Africa and India. Other financial institutions are poorly developed. A stock market was opened in 1998, but trading is sluggish, with most activity concentrated in the interbank and Treasury Bill markets. The overall strength of the banking sector has improved greatly in recent years, with a number of measures taken to improve the legal and regulatory framework. Most banks are now highly capitalised and non-performing loan (NPL) portfolios are low. However, a number of banks are still highly exposed to a small number of borrowers. (Economist Intelligence Unit, Risk Briefing, July 2009.)</t>
  </si>
  <si>
    <t>The government is focusing on completing the reforms of the Banco de la República Oriental del Uruguay (BROU, the state commercial bank), and the Banco Hipotecario del Uruguay (BHU, the state mortgage bank). These reforms have been held up by opposition from the bank employees’ union and lack of political support in parliament. The government has also divested its stake in the Nuevo Banco Commercial (NBC) and is improving the supervisory framework. Despite the progress made, confidence in the sector remains fragile and further delay to these reforms would leave the financial sector vulnerable to future shocks. The financial sector was not directly exposed to the toxic assets that led to the global financial crisis and deposit growth has remained above that of credit in the past year, helping to cushion the sector from the worst of the current global crisis. (Economist Intelligence Unit, Risk Briefing, July 2009.)</t>
  </si>
  <si>
    <t>The financial sector is recovering after years of difficult, and at times impossible, operating conditions, which have seen banking intermediation in commercial transactions drop to an estimated 3% of the total. There are 16 functioning commercial banks. The biggest are subsidiaries and associates of Western banks, although Rawbank, which is Congolese, is growing in importance. Commercial credit provision is low, so banks contribute little to money-creation, and most money growth comes instead from the financing of the government's fiscal deficits by the BCC. Most businesses finance their operations from their own revenue or from the informal financial sector. Commercial banks have maintained profitable operations by providing financial services to international institutions operating in the country and through expensive transaction fees, although increasing competition has driven fees down sharply since 2004. The expected donor aid will provide support for the Congolese franc, but the currency remains highly vulnerable to depreciation. Weaker export earnings owing to lower copper prices and reduced mining output, plus the prospect of continued fiscal deficits above the level of the emergency assistance, are the main risks. Another factor will be the performance of the US dollar, which we forecast will strengthen against the euro during 2009, before weakening slightly in 2010. (Economist Intelligence Unit Country Profile, September 2008; Economist Intelligence Unit Country Report, June 2009.)</t>
  </si>
  <si>
    <t>Dollarisation has improved market confidence and banks are gradually re-establishing themselves as financial intermediaries following the systemic collapse of 1998-99, but credit will remain scarce for most businesses. Public confidence in the banking system has improved in recent years, but deposits have declined in the months following the debt default. Having been overcrowded, the market is now dominated by four big banks and suffers from a lack of competition. Credit availability is stunted because private banks must maintain high liquidity levels, owing to the absence of a lender of last resort in the dollarised financial system. Most deposits are in instantly accessible current accounts, so a dip in confidence in the financial system could prompt a run on deposits. The new constitution aims to establish a social and "solidaristic" economy with preferential treatment given to co-operatives, savings and loans and community banks and will increase government involvement in the sector. (Economist Intelligence Unit, Risk Briefing, July 2009.)</t>
  </si>
  <si>
    <t>Following dollarisation in 2001, exchange-rate volatility has become a function of US dollar volatility. Although we expect the US dollar to appreciate in 2009, in the long term we expect the currency to weaken. There is also a growing risk, given the rising fiscal deficit in the US, of a sharper fall in the dollar. The local financial market remains fairly illiquid, but low financing rates have been available to large corporations. The financial system is generally sound and well-regulated. Equity finance is scarce; most companies raise capital through debt issuance. (Economist Intelligence Unit, Risk Briefing, July 2009.)</t>
  </si>
  <si>
    <t>Ethiopia's banking sector is dominated by the Commercial Bank of Ethiopia (CBE). Significant progress towards opening up the banking sector has been made in recent years: the ten operating private banks increased their share of the loan market to 43% in 2007/08. Non-performing loans (NPLs) are a problem for the CBE, but structural reforms of the bank have been underway since 2003, and NPLs were reduced from 54% at end-June-2003 to 10% at end-June 2007. Although credit to the private sector has been growing, banks face significant structural constraints to lending, such as the difficulty in repossessing collateral on loans and the lack of land tenure laws. Most activity is concentrated in the interbank and Treasury Bill markets. Additionally, profitability in the banking sector is likely to suffer as a result of last year's high inflation, as it has reduced people's willingness to save in the light of strongly negative real interest rates. (Economist Intelligence Unit, Risk Briefing, July 2009.)</t>
  </si>
  <si>
    <t>The courts are neither independent nor fair and do not adequately protect citizens or foreigners. Although the number of commercial court judges has increased, enforcing contracts remains difficult. The judicial process is slow, and the quality of judgements poor. Apart from the oil industry, foreign companies are unlikely to do well in court against powerful domestic interests; in 2006-07 the government revoked the contract rights of several foreign investors. The regulatory structure is often interpreted to protect local interests. Intellectual property protection is poor and use of pirated software is widespread. Private property is poorly protected, but generally accepted as legitimate. Local accounting practices are being strengthened and the entry of large Western accountancies has benefited foreign firms. There are a variety of formal and informal price controls that the government might extend in the event of severe economic difficulties. (Economist Intelligence Unit, Risk Briefing, June 2009.)</t>
  </si>
  <si>
    <t>The legal system is slow and inefficient. Corruption is also a problem in the courts of first instance. Regulations lack clarity and are enforced inconsistently. Businesses reliant on the services of civil servants to implement new projects do not always receive the necessary assistance, even when they have the support of high-ranking politicians. Intellectual property rights are recognised, but rules protecting them are not enforced. The prevalence of corruption often compromises the integrity of accounting practices. Competition is restricted on certain goods and services. Price controls are applied to several food items, fuel and utility tariffs, and these are likely to be extended in times of crisis. (Economist Intelligence Unit, Risk Briefing, July 2009.)</t>
  </si>
  <si>
    <t>Judicial reforms implemented since 1998 have increased judicial independence and improved the reliability of verdicts. The creation of a constitutional tribunal has provided a second appeals body through which decisions by the Supreme Court can be challenged. The introduction since 2000 of new criminal and civil codes has increased the efficiency and transparency of legal proceedings. However, as the new constitution comes into effect, judicial and regulatory uncertainty will increase as it envisages changes that may lead to stronger interference of the executive over the judiciary. Corruption and political interference with judicial processes remain pervasive. Privatisations carried out in the mid-1990s forced the introduction of modern regulatory systems with transparent rules, but this will suffer setbacks owing to the government's plans to increase the state's control over the economy. Enforcement of intellectual property rights remains poor, despite some improvements. (Economist Intelligence Unit, Risk Briefing, July 2009.)</t>
  </si>
  <si>
    <t>The legal and regulatory environment in BiH has been strengthened markedly in recent years by new legislation and by efforts to strip away the most onerous regulatory and bureaucratic requirements for businesses. Nevertheless, this area continues to present a range of challenges for companies operating in BiH. Managers complain of high costs and complex procedures associated with hiring and firing workers and (in the Federation) difficulties in registering their businesses. It remains difficult to operate across both entities, despite efforts to harmonise their regulatory environments. More broadly, the complex governance structure means that government on multiple levels is involved in developing legislation relating to business, resulting in a lack of transparency and sometimes conflicting legal requirements. The judicial system is slow and inefficient, and can be prone to capricious decision-making. (Economist Intelligence Unit Risk Briefing, June 2009.)</t>
  </si>
  <si>
    <t>Cambodia’s judiciary is not independent and as such there is a high degree of risk that the legal process can be interfered with. Indeed, it is common for judges, who are paid low salaries, to accept bribes to rule in a wide range of cases, including those related to contract-enforcement. The legal system is largely underdeveloped, with insufficient legislation for commerce, and compromise solutions are often sought, rather than direct rulings in favour of one party. The regulatory system is not transparent and enforcement agencies are known to be inconsistent. However, foreign investors are not subject to discrimination, and there is little risk of expropriation of foreign assets. Despite having legislation in place that complies with World Trade Organisation (WTO) commitments, private property and intellectual property rights are not strongly protected in practice. There are few concerns, however, in relation to unfair competition and price controls. (Economist Intelligence Unit, Risk Briefing, July 2009.)</t>
  </si>
  <si>
    <t>According to the World Bank's Doing Business report, Cameroon is one of the worst countries when it comes to regulating licensing, registering property and enforcing contracts. The application of laws is selective at best and enforcement of contracts and resolution of commercial disputes is a serious obstacle for domestic and foreign investors. Corruption in the judiciary is a widespread and common problem. In addition, the court system suffers from a lack of experienced personnel. Cameroon is a member of the International Centre for the Settlement of Investment Disputes (ICSID). The treaty of the L'Organisation pour l'Harmonisation en Afrique du Droit des Affaires (Ohada, the Organisation to Harmonise Business Laws in Africa) provides a legal framework to govern business laws in the CFA Franc Zone region, which also includes a dispute-settlement mechanism. (Economist Intelligence Unit Risk Briefing, July 2009.)</t>
  </si>
  <si>
    <t>There is little risk of interference in the judicial process, whether from government or private interest groups. Contract rights are generally upheld and recognised. The judicial process is usually efficient. Neither the courts nor the government tend to favour domestic companies over foreign ones, and there has been no expropriation of foreign assets. Attracting foreign companies and investment is considered a key component of the liberal market economic model by all major political parties. The government is a keen promoter of competition (foreign and domestic) and will continue to lift barriers to entry into new markets. Intellectual and private property rights are guaranteed and protected by law, though enforcement can be slow and expensive. Accounting standards are clear and enforced, and business statements can generally be trusted. There are few price controls and, even in a crisis, the government is unlikely to impose them. (Economist Intelligence Unit, Risk Briefing, July 2009.)</t>
  </si>
  <si>
    <t>The authorities in China have made great efforts since 1978 to institutionalise the political and legal systems, but much remains to be done. The rule of law is incomplete and inconsistent—China's authorities seem to be aiming for a hybrid system that clings to the principle of rule by law, while preserving the privileged position of the CCP. Courts remain beholden to political leaders and are unable consistently to take independent decisions based on objective consideration of laws and facts. At the local level, judges are very unlikely to rule against local dignitaries, such as government and party officials and managers of state-owned enterprises. In many areas, foreign-invested enterprises avoid taking disputes to domestic courts if they can go to international arbitration instead. Greater constitutional safeguards for private enterprise have been introduced, but cannot be relied upon. (Economist Intelligence Unit Risk Briefing, May 2009)</t>
  </si>
  <si>
    <t>Legal and regulatory risk scores 48, in the middle of the C-grade rating. There is little danger of expropriation or confiscation, and it is official policy to encourage foreign investment by creating a clear, stable and favourable regulatory framework. Although the Supreme Court is impartial and well respected, the lower levels of the judiciary and civil service are susceptible to corruption and intimidation. Drugs money and the power of vested interests have contributed to the contamination of the legal system. In regions with a high level of guerrilla and paramilitary activity, private property is threatened and extortion by both guerrillas and common criminals is a problem. The legal code gives adequate coverage of intellectual property rights, but the courts frequently neglect its provisions. In June 2005 Congress approved investor stability contracts. These allow large companies to benefit from protection from adverse administrative and regulatory changes, although there is a list of exemptions. (Economist Intelligence Unit, Risk Briefing, July 2009.)</t>
  </si>
  <si>
    <t>There are no restrictions on foreign investors’ access to the local credit markets, but opportunities for foreign investors to finance their operations locally are limited, given a scarcity of credit (which has been aggravated by the global credit crunch) and high domestic interest rates. The financial market is shallow, although deepening, and the creditworthiness of many borrowers poor, increasing the cost of capital. Most foreign companies meet their financing needs through a network of correspondent banks abroad. There have been a number of domestic bank collapses in recent years and a period of consolidation is underway. The authorities are tightening supervision. Nevertheless, the system remains fragile and overbanked, and further consolidation is likely. (Economist Intelligence Unit, Risk Briefing, July 2009.)</t>
  </si>
  <si>
    <t>India is emerging as an increasingly attractive destination for foreign investment and this will continue to support the rupee in the medium term. However, in the short term portfolio capital outflows, weakening industrial activity, the growing fiscal shortfall and further monetary loosening will continue to put downward pressure on the local currency. The banking sector is dominated by state-owned banks. The level of non-performing loans (NPLs) has been significantly reduced, but could rise. The stock market has suffered from a number of scandals, but reforms are taking place. Rising inflows of direct and portfolio investment supported a meteoric stock market rise until early 2008, but the market has endured significant volatility since then. (Economist Intelligence Unit, Risk Briefing, July 2009.)</t>
  </si>
  <si>
    <t>The financial sector in Indonesia collapsed during the 1997-98 Asian financial crisis and has since undergone serious restructuring. Since 2003 the government has been increasingly successful in selling state banks to the public and to foreign investors and encouraging consolidation in the sector. In 2007-08 banks had recovered enough to resume strong lending growth. They have continued to lend relatively aggressively through the crisis, but they are likely to lose confidence in 2009-10. Banks are concerned about the creditworthiness of Indonesian firms and prefer to invest surplus liquidity in government bonds, although the yield on these bonds will fall in response to looser monetary policy. The central bank has relaxed restrictions on lending to defaulting borrowers, which should make more companies eligible for loans. Foreign access to the equity market is good, but the market remains relatively illiquid and lacks depth. (Economist Intelligence Unit, Risk Briefing, May 2009.)</t>
  </si>
  <si>
    <t>A period of consolidation, restructuring and legislative reform in the aftermath of crisis in the mid-1990s has strengthened the financial sector, but weaknesses remain. Regulation and supervision have improved, as has risk-management, and prudential indicators are generally positive, despite a rising ratio of non-performing loans (NPLs) in recent months. There has been a rapid extension of credit to the private sector since outstanding bad loans from the crisis were written off in 2001; this raises the risk of a further rise in NPLs. This reflects the crowding-out of the private sector by the public sector, in the context of a public debt/GDP ratio of around 125% (which stems in part from the bank bail-out itself). There is also ample room for deepening of the shallow capital market, which at present does not provide much scope for project financing by large foreign investors. (Economist Intelligence Unit, Risk Briefing, July 2009.)</t>
  </si>
  <si>
    <t>Recent political turmoil has not precipitated large-scale deposit withdrawals, and Kenya's well-developed banking system is not burdened with the "toxic" debts that have undermined some of its rich-country counterparts. However, the timing of the global financial crisis and downturn is unfortunate, as it will delay Kenya's economic recovery from post-election unrest. Kenya had hoped to issue a first sovereign bond on international markets in 2008, but is now likely to wait until 2010 owing to the global credit squeeze. The government's intervention in the banking sector has declined considerably, and reported another good year in 2007, marked by rising activity, strong profit growth and a further decline in non-performing loans (NPLs). However, the sector is expected to have been less promising in 2008 owing to post-election violence and substantial economic disruption. (Economist Intelligence Unit, Risk Briefing, July 2009.)</t>
  </si>
  <si>
    <t>A deepening of financial sector problems in Kazakhstan will have a detrimental effect on the availability of credit for investment, as many Kyrgyz banks are owned by Kazakh parent institutions. The effectiveness of monetary policy will also remain constrained by the underdeveloped nature of the domestic financial sector. A recent trend of rapid depreciation of the som has led the central bank to make extensive foreign-currency sales, and this trend is likely to continue over the next few months. This will help the central bank to control the som money supply, but it will be reluctant to deplete its foreign reserves excessively. Recently, services (including financial services) have overtaken agriculture as the main contributor to the Kyrgyz economy, accounting for 48% of GDP in 2007, according to the National Statistical Committee (NSC), compared with 32% in 2000. In particular, the government's policy of economic liberalisation has created a myriad of family-run enterprises concentrated almost entirely in the trade and catering sector, and financial services have not yet taken root in a significant manner. (Economist Intelligence Unit, Country Profile, September 2008; Economist Intelligence Unit, Country Report, May 2009.)</t>
  </si>
  <si>
    <t>The banking sector is sophisticated and large, controlling assets worth more than three times 2008 GDP. This reflects both the wealth of many locals and the preferences of expatriate Lebanese, who deposit funds with Lebanese commercial banks even after long periods abroad; such deposits have risen in recent months, as Lebanese banks have been perceived as a relative haven. Lebanese banks are also well regarded in the Gulf. Building up a diverse asset portfolio has been challenging, with many institutions relying on high-yielding government bonds and bills, which make up most of their domestic claims. The central bank is a respected regulator, and most local institutions are highly liquid, holding capital adequacy levels well above the minimum requirement. The country has seen a number of bank collapses over the last decade, and could see others, although the 12 largest banks are well capitalised. However, the central bank is well able to manage such events. (Economist Intelligence Unit, Risk Briefing, July 2009.)</t>
  </si>
  <si>
    <t>Madagascar's banking sector is well capitalised, and all the major commercial banks are at least part-privatised, most with strong French shareholdings. More than one-third of financial-sector assets are held by the Central Bank, with most of the rest held by the commercial banks. However, the majority of the population has no access to banking services, and progress in extending microcredit networks has been slow. The depreciation of the currency has accelerated in recent months, but the Central Bank's ability to support the ariary on international markets will become increasingly restrained over the forecast period as the country's foreign-exchange reserves are rapidly depleting. This could force the Bank to allow a large depreciation, substantially boosting the impact of imported inflation. As a result, we expect the ariary to depreciate to an average of A2,006:US$1 in 2009 and to A2,260:US$1 in 2010. (Economist Intelligence Unit, Country Profile, November 2008; Economist Intelligence Unit, Country Report, June 2009.)</t>
  </si>
  <si>
    <t>The reduction of Mexico’s external vulnerabilities in recent years was reflected in greater currency stability, but gloomy US data releases have recently fuelled continued volatility of the Mexican peso, reflecting concerns about the knock-on effect on Mexican manufacturing. In spite of a sizeable reserves cushion, reduced investment inflows and a contraction in growth will further weaken the peso, while the US dollar is likely to benefit from heightened risk aversion. Cautious credit policies, relatively well-developed oversight and low penetration levels should mitigate the impact on the banking sector of the economic slowdown. However, a rise in non-performing loans (NPLs) has been disguised by still-expanding credit. In absolute terms, housing loan defaults are on an accelerating trend and commercial defaults are expanding rapidly; these will be reflected in the NPL ratio as lending slows. (Economist Intelligence Unit, Risk Briefing, July 2009.)</t>
  </si>
  <si>
    <t>There has been a rapid expansion in borrowing in recent years, much of it to the private sector and much of it short-term. There are concerns that lending has become over-concentrated on sectors vulnerable to changes in world commodity prices. In its late-2007 review of Mongolia’s sovereign debt ratings, a credit rating agency, Moody’s, cited problems in banking supervision and rapid credit growth as areas of concern (despite giving Mongolia an overall positive outlook). The ratio of non-performing loans (NPLs) to total loans outstanding declined to 3.3% by end-2007, compared with 4.9% at end-2006 and 5.8% at end-2005. However, the improving ratio mainly reflects the rapid rise in loan growth, and the actual stock of NPLs continues to grow. A sharp deterioration in the economy has forced the government to approve a bank rescue programme, introduce an economic stimulus package and to seek loans from the IMF and other donors. Since the final quarter of 2008, the sharp drop in the price of copper, Mongolia’s main export commodity, has resulted in a fall in exports and a rapid widening of the merchandise trade deficit, which has put downward pressure on the currency, as well as eroding foreign-exchange reserves. (Economist Intelligence Unit, Country Report, May 2009.)</t>
  </si>
  <si>
    <t>Financial risk is moderate. The currency is pegged to a basket dominated by the euro (which also includes the dollar and yen). The dirham was devalued by 5% to offset a steady appreciation of the real effective exchange rate during the 1990s. Since then, the central bank has not interfered, and has allowed the US dollar's decline against the euro to reduce the dirham's euro value in order to boost export competitiveness in the country's key markets. This process went into reverse in the first half of 2005 as the dollar regained ground against the euro, but the dollar then weakened, before recovering once more in mid-2008, and the central bank has left the peg intact. The banking system is reasonably extensive, although under-developed in some sectors. Foreign firms face no special restrictions. Credit risk assessment is improving. Interbank trading and credit growth have stayed at normal levels in recent months, reflecting Moroccan banks' relative health and limited exposure to foreign assets. (Economist Intelligence Unit Risk Briefing, July 2009.)</t>
  </si>
  <si>
    <t>The financial sector in Mozambique is underdeveloped and is dominated by banks. Following a crisis in 2000-01, during which two large banks collapsed amid allegations of fraud, the banking sector has benefited from a number of reforms, which have improved the legal and regulatory framework. This has greatly reduced the proportion of non-performing loans (NPLs), but more needs to be done to reform the central bank's supervision of the banking sector and to improve the domestic lending environment. The banking sector is heavily concentrated, with the four largest banks—dominated by the Portuguese-owned Banco Internacional de Moçambique (Millennium-BIM)—holding 88.9% of assets, 86.9% of total loans and 91.6% of total deposits at end-2007. Other financial institutions are poorly developed. A stock market was opened in 1999, and by end-2008 a total of 16 companies were listed, with a total market capitalisation of US$400m. (Economist Intelligence Unit, Risk Briefing, July 2009.)</t>
  </si>
  <si>
    <t>The Georgian Stock Exchange began trading in 2000, but remains tiny and illiquid. In late 2006 the central bank began issuing certificates of deposit (CDs) of various maturities, primarily in order to increase the monetary policy tools at its disposal. In 2005 the central bank issued the country's first corporate bond in the amount of Lari2m (around US$1.2m) and in April 2008 the government issued the debut five-year Eurobond, worth US$500m. Growth in credit and monetary aggregates has been extremely rapid. Private credit grew by just over 50% year on year in the first seven months of 2008, after averaging 70% growth annually in 2006-07. According to the central bank, the ratio of loans to GDP had increased to 27% by mid-2008, compared with 9% in 2004, although this ratio is low relative to other transition countries. This suggests that there is further room for credit aggregates to expand without significant overheating. Although the banking sector has begun to consolidate in recent years, commercial banks remain risk-averse; most loans are still issued to finance trade and consumption, whereas access to loans for the industrial and agricultural sectors remains limited. Foreign investment in the banking sector has intensified in recent years, with four new banks established with foreign capital between the start of 2007 and mid-2008. (Economist Intelligence Unit, Country Profile, October 2008.)</t>
  </si>
  <si>
    <t>The banking sector was until recently dominated by state-owned banks, led by the Ghana Commercial Bank (GCB). They lent mainly to government, restricting the supply of credit available for private investors. While the GCB remains the largest bank in the country—and has yet to be fully privatised—the rise of other private sector banks has improved the availability of finance. Moreover, competition has reduced lending rates and the spread between the lending and deposit rate, even if these remain high. However, most private banks remain cautious lenders. Inward foreign capital investment has to be registered with the Ghana Investment Promotion centre and the central bank. The Ghana Stock Exchange is open to foreign listings, but the market is small and illiquid. With a large expatriate community, smaller-level financing in Ghana is via remittances, which have helped drive a housing boom in recent years. (Economist Intelligence Unit, Risk Briefing, July 2009.)</t>
  </si>
  <si>
    <t>The quetzal has appreciated in real terms against the US dollar since 2001, but is set to weaken markedly amid unfavourable economic and capital market conditions. Much of the quetzal's strength in recent years has stemmed from short-term capital inflows, which are falling sharply, offset for now by fresh multilateral financing. Guatemala offers an extremely shallow market for corporate finance. Even so, financial deregulation in the early 1990s has allowed lightly regulated finance houses to flourish, increasing the availability of credit for consumers. Weak regulation allows financial groups to engage in connected lending. Non-performing loans (NPLs) remain high (2.7% in April 2008) and are under-provisioned. The stock market is highly illiquid, dealing almost entirely in government debt. (Economist Intelligence Unit, Risk Briefing, July 2009.)</t>
  </si>
  <si>
    <t>Haiti has a rudimentary banking sector, the result of low levels of income and savings and the small number of people involved in the formal economy. There are five local banks (Unibank, Banque de l'Union Haitienne, Sogebank, Capital Bank and the very small Banque Industrielle et Commerciale d'Haiti) and two foreign banks (Bank of Nova Scotia and Citibank). There are also two state banks (Banque Populaire Haitienne and Banque Nationale de Credit), a private development finance institution (SOFHIDES) and two mortgage banks (Sogebel and SOCABEL). The financial system plays a limited role in supporting economic growth, reflecting a broad range of development challenges, including significant weaknesses in the legal and institutional frameworks, the fragile security situation, limited competition, poor governance and high reserve requirement ratios. The result is low credit growth and limited access to credit. The sector is highly concentrated, with around 80% of assets held by the three largest banks, and 10% of individual borrowers receiving around 80% of total loans. Half of total credit is extended to commerce and services activities, whereas agriculture and transport receive less than 1%. The Haitian gourde nominally depreciated by a moderate 5.8% (3.3% in real terms) in 2008 and maintained this trend in the first several months of 2009, with the exchange rate weakening from G40.2:US$1 in December to G40.8:US$1 in April. We forecast that the gourde will continue to depreciate in the outlook period, averaging G41.4:US$1 in 2009 and G43.1:US$1 in 2010. However, rebounding inflation, along with a wide current-account deficit, could lead to a sharper-than-expected nominal depreciation of the currency. (Economist Intelligence Unit Country Profile, September 2008; Economist Intelligence Unit, Country Report, May 2009.)</t>
  </si>
  <si>
    <t>Dollarisation eliminates currency risk, has historically contributed to price stability and reduces the cost of credit. This, together with a well-capitalised, liquid banking system, contributes to favourable financing conditions. A liberal banking regime and the long-established use of the dollar have contributed to the development of fully integrated financial system serving both onshore and offshore markets. Relative to the size of the economy, the deposit base and stock of credit is the highest in the region. Turmoil in Latin America caused deposits to decline in 2001-03, but there has been a strong rebound since 2004. As well as a plentiful supply of credit for trade and investment, Panama has a long-term mortgage market. In the absence of a lender of last resort, banks, in conjunction with the banking Superintendency, have responded to the challenge to put in place rigorous credit assessment procedures. (Economist Intelligence Unit Risk Briefing, July 2009.)</t>
  </si>
  <si>
    <t>Poor banking regulation has brought several banking crises since the deregulation of the sector in 1991. Regulation has improved in recent years and banks have become less reluctant to lend. However, credit to the private sector remains modest as a percentage of GDP, at below 20%. The costs of financial intermediation declined since 2003, but spreads in local currency remain high and have recently increased sharply. Increased confidence in the guaraní in recent years had been reflected in a smaller proportion of credit to the private sector issued in US dollars. However, the recent strong currency depreciation has led to a renewed crisis of confidence in the guaraní and a part-reversal of the improvements of recent years, which represents a significant risk to the banking sector. Progress in reforming the banking sector will remain piecemeal. The Asunción stock exchange is expanding, but further growth will be constrained by family enterprises’ fear of losing majority control of assets in public offerings. (Economist Intelligence Unit, Risk Briefing, July 2009.)</t>
  </si>
  <si>
    <t>Corporate finance is widely available, but costly. Amid the economic slowdown, banks' lending portfolios have deteriorated, but non-performing loans remain very low at just 1.5% of commercial banks' portfolio in April 2009, according to the banking regulator. Banks remain wary of lending to small and medium-sized businesses, and will continue to remain cautious until they build up their capacity to assess credit risks. It is difficult for informal sector businesses to access bank lending. There are few restrictions on foreign-owned firms gaining access to the domestic market. The risk of a crisis in the banking system remains relatively low: the banking sector has proved resilient in the face of several shocks in recent years as supervision has strengthened and as foreign banks have become more involved. Three-quarters of all bank deposits are in the hands of four banks, and consolidation has helped to shore up the strength of the sector. (Economist Intelligence Unit, Risk Briefing, July 2009.)</t>
  </si>
  <si>
    <t>The outlook for the currency remains dependent upon progress on the budget deficit and the inflation climate. The peso had been one of the strongest-performing Asian currencies, amid an improving fiscal situation and a large current-account surplus, but the currency weakened against the US dollar in 2008, ending the year at P48.09:US$1, a 12.8% year-on-year depreciation. The Philippines needs to show a further sustained rise in revenue collection if it is to win more upgrades of its sovereign credit rating. The central bank also needs to demonstrate a commitment to keeping inflation low. The financial sector is underdeveloped, but financial regulation has been modernised and higher capital requirements have been implemented, prompting mergers. The overall quality of stock-market regulation will continue to be undermined by pervasive personal networks. This will keep the equity market small and prevent it from becoming a more effective vehicle for mobilising domestic savings. (Economist Intelligence Unit, Risk Briefing, July 2009.)</t>
  </si>
  <si>
    <t>Azerbaijan is experiencing the repercussions of the global financial crisis through weaker oil prices and restricted access for its banks to international capital markets. With global oil prices expected to drop by an average of 50% in 2009, the risks to exchange-rate stability are high. The local financial markets are small and shallow. Foreign companies can access local financial markets, but do not tend to do so. The local debt market is dominated by government and Central Bank issues, which are small and have extremely short maturities. The government plans to develop the debt market, and to issue notes of different maturities to establish a yield curve, but has been slow to do so. With bank lending and deposits falling since the start of 2009, the authorities have pledged to offer direct financial assistance to the weak and undercapitalised banking sector, should this prove necessary. They have also loosened monetary policy, reducing the refinancing rate by 13 percentage points, to 2%, in recent months. (Economist Intelligence Unit, Risk Briefing, June 2009.)</t>
  </si>
  <si>
    <t>The central bank has maintained a managed floating exchange-rate system since 2003, when it abandoned a fixed exchange rate system, which pegged the taka at TK57.9:US$1. The taka:US dollar exchange rate has been fairly stable throughout the year, partly because of the actions of the central bank, which has intervened on several occasions to support the taka, and partly owing to relatively strong inflows of workers' remittances. There are few formal restrictions on foreign companies securing local financing. However, there are concerns about the health of the banking sector. Although levels of gross non-performing loans (NPLs) have come down from 28% at end-December 2003 to 10.1% at end-December 2008 for the entire banking sector, it is widely recognised that the official data do not fully reflect the problems that the sector faces. A local bond market exists, trading government bonds of various maturities up to and including ten years. (Economist Intelligence Unit, Risk Briefing, July 2009.)</t>
  </si>
  <si>
    <t>A crawling-peg exchange rate regime had been successful in keeping currency risk low, but steady appreciation in 2008 and the first half of 2009, despite external pressures, has reversed this trend. The financial sector remains small and inefficient and the local stock market mainly trades fixed-term government bond issues. However, the lack of deep financial markets provides a cushion from the risk of sudden currency swings caused by external shocks. Since mid-2005 the Banco Central de Bolivia (the Central Bank) has widened the spread between the buying and selling rates of US dollars, contributing to a reduction in the level of economic dollarisation. By end-March 2009 around 72% of long-term bank private deposits were held in foreign currency, still a very high percentage, but less than the 94% registered in December 2005. The monetary authority is expected to continue pursuing measures that lead to a reduction in economic dollarisation. The level of past-due loans has decreased from 16.7% at end-2003 to 4.4% in April 2009. (Economist Intelligence Unit, Risk Briefing, July 2009.)</t>
  </si>
  <si>
    <t>The banking sector in Bosnia and Herzegovina (BiH) is well developed by regional standards, with lending to the private sector around 53% of GDP at end-2007. The risk of serious instability in the banking sector remains relatively low. However, banking sector risk is rising in line with increasing currency risk, which in turn reflects the strong growth in BiH's current-account deficit in 2007-08. The banking sector risk rating is also constrained by continuing rapid credit growth: although this started to decelerate strongly in the third quarter of 2008, lending to the private sector was still increasing at 20.8% year on year in November. Non-performing loans (NPLs) have fallen as a percentage of the total portfolio, although in periods of rapid credit growth the identification of non-performing assets can become more difficult. The Central Bank of BiH (the Central Bank) eased commercial banks' reserve requirements at end-2008 to boost liquidity, and is expected to maintain that policy in 2009 as economic growth slows. (Economist Intelligence Unit, Risk Briefing, June 2009.)</t>
  </si>
  <si>
    <t>The availability of investment finance has long been restricted by tight monetary policy and high lending rates. Nevertheless, the domestic capital markets are gradually deepening and competition between lenders has increased. Even so, most local-currency loans are expensive and short-term. Subsidiaries of foreign multinational companies often rely on loans from headquarters or their foreign-based financing agents to support their local operations at lower costs. There are few restrictions on foreign firms gaining access to the Brazilian markets. The large private banks are well managed, well capitalised and profitable, but heavily exposed to government paper. The equity and corporate bond markets have strengthened and in the long term will offer alternative financing opportunities. Short-term prospects, will be nevertheless severely constrained by the global credit crunch and domestic events, which indicated that capital market innovation in Brazil has also suffered from a certain lack of transparency. (Economist Intelligence Unit, Risk Briefing, July 2009.)</t>
  </si>
  <si>
    <t>Cambodia’s financial sector is underdeveloped, and the depth of financing is limited. The rapid growth of credit to the private sector in the past year has heightened banking sector risk, and the IMF has stated that rapid credit expansion and the weakness of bank supervision in Cambodia have heightened the risks facing a number of banks, including several “systemically important” ones. State interference is low, with no wholly state-owned commercial banks in operation. Compared with local companies, foreign companies do not face any restrictions on access to capital, but owing to the fact that the banks are fairly risk-averse, and that there is no local stock or bond market, domestic financing in general can be difficult to arrange at competitive rates. More positively, financing is typically arranged in US dollars, thereby limiting exchange-rate risks. (Economist Intelligence Unit Risk Briefing, July 2009.)</t>
  </si>
  <si>
    <t>There are 11 commercial banks operating in Cameroon, with the top three banks accounting for around two-thirds of all deposits and loans. All three banks have majority stakes owned by foreign banks. According to COBAC, the prudential situation is satisfactory, with nearly all banks complying with prudential ratios. In Cameroon, as in many other countries in the region, banks are very selective when lending, given the provisioning they have needed to make in the past for defaulting borrowers. In September 2008 the average lending rate was 15%, whereas the average deposit rate was 4.25%, a very wide spread reflecting operating constraints facing banks, most notably the difficulty in foreclosing on non-performing loans (NPLs) and weak competition. The majority of the population has no access to banking facilities, although microfinance is a growing field. (Economist intelligence Unit, Risk Briefing, July 2009.)</t>
  </si>
  <si>
    <t>Chile will remain one of the few emerging countries where companies with good credit ratings have access to a range of medium- and long-term local currency borrowing options. Simplified tax treatment has allowed the creation of a commercial paper market, while the elimination of taxes on cross-border intermediation will enable local banks to expand their operations abroad, particularly in foreign trade financing. The banking system is well-capitalised and prudently managed, and surpasses Basle capital adequacy norms. Chilean banks are well placed to withstand a deterioration in global risk aversion, although the drying up of dollar credit lines forced the Central Bank to provide dollar liquidity in October. Corporate and consumer lending growth will slow as domestic interest rate rises and the global slowdown take effect. With a market capitalisation rate of around 100% of GDP, the stock market is very liquid. (Economist Intelligence Unit, Risk Briefing, July 2009.)</t>
  </si>
  <si>
    <t>The government is working to improve China's financial markets, but the banking and broader capital markets remain immature. Foreign-invested enterprises may borrow from foreign banks, and will soon be able to issue shares on the Shanghai and Shenzhen stock markets. This will pose reputational and corporate governance challenges: manipulation of share prices is rampant in China, and standards of corporate governance and auditing are low and poorly enforced. The main state-owned banks are weighed down by non-performing loans (NPLs) that amount to a substantial proportion of total lending. They have been kept afloat by government bailouts and the continued willingness of individuals to invest most of their savings in the form of bank deposits. This willingness is partly owing to the lack of alternatives, but it is also owing to the widespread belief—probably justified—that officials would not allow any big financial institution to fail. (Economist Intelligence Unit Risk Briefing, May 2009)</t>
  </si>
  <si>
    <t>After expanding in 2003-07 the financial sector now faces testing times amid a local and global downturn and heightened risk aversion. The system was not exposed to the toxic assets that hit OECD banks, but a seizure in foreign credit lines caused woes. Financial soundness indicators are currently good, with provisioning for non-performing loans (NPLs) above 100%. Consumer and corporate NPLs are on the rise, weakening profitability. Some institutions will suffer difficulties, but we do not expect a systemic crisis. Regulatory changes and supervision improvements have reduced credit risk, but heavy holdings of government debt are a concern. After booming in 2003-06 the stock market has been hit by risk aversion. Firms fear enhanced tax scrutiny that a listing brings, while demand from local private pension funds is restricted. The local-currency bond market is dominated by public-sector debt, leaving little room for corporate issues. Capital controls to curb portfolio inflows were lifted in September 2008. (Economist Intelligence Unit, Risk Briefing, July 2009.)</t>
  </si>
  <si>
    <t>The availability of finance from the domestic banking system is limited and foreign companies (as well as large domestic companies) tend to rely more on external financing through correspondent banks. The market for investment financing is shallow and expensive, and companies needing to borrow for an extended period tend to seek dollar financing. Access to external financing has eased since the banking crisis of 2003-04 and associated currency and price instability. Amid an easing of local interest rates, credit to the private sector accelerated in 2006 and 2007, but has since moderated. Despite improvements in regulation and supervision since 2005, concerns prevail over corporate governance and asset quality at private banks. The country’s stock market, which is 100% fixed income, has grown rapidly in recent years, but is still very small and domestic equity financing for foreign companies will remain out of the question. (Economist Intelligence Unit, Risk Briefing, July 2009.)</t>
  </si>
  <si>
    <t xml:space="preserve">In January 2008 the Scandinavian stock market operator, OMX, bought Armenia's stock exchange (which began trading in 2001) and central depository. The stock market is currently tiny and illiquid, but the government hopes to encourage local companies to list by offering tax incentives—an initiative opposed by the IMF on the grounds that it will hamper efforts to improve the tax administration. Overall, the performance of the banking system is improving, following the implementation by the Central Bank’s measures aimed at consolidating the sector and increasing the system's financial intermediation capacity. These include a strengthening of banking sector supervision; enforcing penalties for non-compliance with prudential norms; raising mandatory reserve requirements for foreign-currency deposits; and introducing new corporate governance regulations. All commercial banks were required to raise their capital to the equivalent of US$5m in 2005, which forced several weak banks to close; the capital requirement for new banks is close to US$11m. A deposit insurance scheme came into effect in July 2005, and provides 100% guarantees for deposits in the local currency up to DRAM2m (US$5,235), and in foreign currency up to the equivalent of Dram1m. Armenia's commercial banks have used this growth in the deposit base to increase their loan portfolios. In 2007 commercial bank credit rose by 75% to DRAM426bn (13% of GDP), of which 60% was denominated in dram, up from 49% a year earlier. 
Although the Armenian financial services sector is not greatly exposed to international capital markets, Armenia relies strongly on inflows of remittances and official transfers, and much of its export revenue is generated by commodity exports, in particular of metals. With both domestic demand and external trade expected to contract in 2009-10, the authorities will have to focus on stimulating small and medium-sized enterprises (SMEs) and on supporting sectors, such as agriculture. (Economist Intelligence Unit, Country Profile March 2008; Economist Intelligence Unit, Country Report, May 2009.)
</t>
  </si>
  <si>
    <t>The victory of the Adalet ve Kalkınma Partisi (AKP) in the July 2007 elections resolved the constitutional crisis over the presidential election last year. However, tensions between the AKP and hardline secularists, including the military and the judiciary, have persisted because of the party's Islamist roots. The constitutional court ruled in July 2008 not to close the AKP, but its verdict was almost unanimous that the party had become a focus for anti-secularist activity. The AKP will have to tread carefully to avoid another attempt to ban it. Direct military intervention to topple the government is unlikely, but interference in politics is likely to continue. Another source of tension has been revelations of the alleged existence of an ultranationalist gang, comprising former generals, active officers and high-profile civilians, who are accused of ordering terrorist acts to try to bring down the government. The risk of social unrest is moderately low, but it has risen owing to tensions in the Kurdish south-east and soaring unemployment. (Economist Intelligence Unit, Risk Briefing, May 2009.)</t>
  </si>
  <si>
    <t>The president, Yoweri Museveni, has kept a firm grip on power for over 20 years, and is expected to continue to do so. However, Mr Museveni's share of the presidential vote has declined in each of the last three elections. Regional disputes, in particular with the Buganda region, will provide a focus for the opposition parties; however, in order to form a serious threat they would need to agree on a coalition, which is unlikely. The government used underhand methods to secure victory in the presidential election (even though Mr Museveni probably had enough support to win on a level playing field), angering the opposition and leading to demands that the election result be nullified. The presidency brings with it great power and there are fears over Mr Museveni's accountability, especially as the constitution was altered in 2005 to remove the presidential two-term limit. (Economist Intelligence Unit, Risk Briefing, July 2009.)</t>
  </si>
  <si>
    <t>Democracy has been firmly in place since the military dictatorship ended in 1985 and the abuses committed during that period are being investigated. One source of friction is a reinterpretation of the amnesty law, which enables some former military commanders to be brought to trial, but there is a low risk of this provoking political instability: the armed forces are politically weak. Elections are free and fair. Years of dominance by two centre-right parties (except during military rule) ended in 2005 when the Frente Amplio (FA) coalition took office. The government will not undermine political stability, since its leadership is experienced and pragmatic, and it is pursuing a largely orthodox policy path while maintaining Uruguay's tradition of social support. The 2009 elections will be tight, but present little risk of political instability—any transition would be conducted peacefully and would not impinge on business. Whichever party leads the next government will provide broad policy continuity. (Economist Intelligence Unit, Risk Briefing, July 2009.)</t>
  </si>
  <si>
    <t>Mr Chavez's total control of the legislature gives him a free hand in policymaking, but the potential for political instability is rising, reflecting increasingly fractious relations between the government and opposition. Meanwhile, a sharp deterioration of the economy and ongoing food shortages will continue to fuel public frustrations. The decay of political institutions compounds these risks. We expect a continuation of the constitutional transfer of power, but it is not entirely impossible that some form of political crisis would bring Mr Chávez's rule to an abrupt end. Mr Chavez's often confrontational stance toward neighbouring Colombia and the US, which serves to channel nationalist sentiment into support for the government, will keep the potential for dispute with these countries high. However, the risk of armed conflict is low. (Economist Intelligence Unit, Risk Briefing, July 2009.)</t>
  </si>
  <si>
    <t>The Communist Party of Vietnam will engineer seamless transitions to new leadership (the next major transition is expected in 2011, although internal party divisions could result in a mid-term party plenum), and will maintain its firm grip on power in 2009-10. The current leadership offers poor prospects for political reform, but improved prospects for measures to address deep-rooted corruption. The party's general secretary, Nong Duc Manh, will continue to be a stabilising force during his second five-year term in office, balancing the influences of reformist party members and conservatives. There is high-level commitment to combating graft within the new leadership, holding out hope for progress on this front in 2009-10. The National Assembly is likely to grow in influence and may come to play a more prominent role in holding the government and ministers to account. The leadership lacks public accountability, and the process of policy formulation within the party remains highly opaque. (Economist Intelligence Unit, Risk Briefing, July 2009.)</t>
  </si>
  <si>
    <t>Political power remains with the president and his ruling General People's Congress (GPC). Mr Saleh has been in power since 1978 and as yet there is no obvious successor, or plans in place for choosing one. Mr Saleh comfortably won the presidential election in September 2006, allowing him to remain in office until 2013 (the parliamentary election, scheduled for April 2009, has been postponed for two years). Mr Saleh's major success has been keeping the country unified since the north and south were joined in 1990, in the face of a short-lived civil war in 1994. Nevertheless, the revolt since late 2004 in the north of the country by the Zaydi Shia demonstrates the unpredictability of Yemen’s political climate, while the formation of the independence-seeking Southern Movement has once again raised the prospect of southern secession. (Economist Intelligence Unit, Risk Briefing, July 2009.)</t>
  </si>
  <si>
    <t>The fall-out from the financial collapse of 2001-02 has been reflected in a lingering credit squeeze. Although profitability has returned since 2005 banks' balance sheets remain relatively weak and government bonds still account for around 20% of the system's total assets. The full rehabilitation of the financial system will be interrupted by difficulties stemming from the global financial crisis and by the impact on the Argentinean financial system of the local recession and a rise in macroeconomic instability. This will largely restrict loans for productive activities to short-term working capital. The government may try to revive the role of state-owned banks in providing credit to productive sectors, although fiscal constraints will restrict the amount of resources available. The level of dollarisation in the financial system is low, reducing the risk of currency mismatches. (Economist Intelligence Unit, Risk Briefing, July 2009.)</t>
  </si>
  <si>
    <t>After political turmoil and heightened social tensions in 2002-04, the country has regained stability under the leadership of Leonel Fernández, who won a clear victory in the May 2008 presidential election. The president wields extensive discretionary power and the electoral institutions are weak, impairing accountability and adding to the contestability of government actions. The need for reforms to strengthen government and electoral institutions has been widely acknowledged, but progress will be slow. The ruling PLD has a majority in Congress, but risks losing it at the mid-term May 2010 election. Despite widespread poverty, social unrest receded following strong economic growth in 2006-08, but the ensuing economic slowdown will give rise to protests. Rising electricity prices, more frequent blackouts and a refusal to raise wages will continue to spark discontent. There is also potential for social tensions and violence arising from new waves of migration from neighbouring Haiti. (Economist Intelligence Unit, Risk Briefing, July 2009.)</t>
  </si>
  <si>
    <t>Mr Kabila is expected to remain in power in the short term, and political-ethnic conflict is likely to continue in the east of the country. The government's economic policy priority is to respond appropriately to the world economic downturn, which has had a deep impact on the national economy. In the east, bloody attacks by the Forces Democratiques de Liberation du Rwanda (FDLR) on civilians will continue and more people will be displaced, despite the arrival of long-awaited Mission de l'Organisation des Nations Unies en RD Congo (MONUC, UN Mission in DRC) reinforcements later this year. The restoration of diplomatic relations with Rwanda will be widely welcomed internationally. However relations with another neighbour, Angola, have worsened. The two governments are arguing over their maritime borders and the offshore oil blocks under them. (Economist Intelligence Unit, Country Report, June 2009.)</t>
  </si>
  <si>
    <t>Political risk has declined after the successful re-election of the radical left-wing president, Rafael Correa, but will still remain high in 2009-10 as the economy deteriorates. Mr Correa remains popular among a broad sector of the public, but his Alianza Pais party has lost its majority in the legislature and the implementation of the new constitution will keep tensions with the opposition high. Despite gains in the April election, the opposition is still relatively weak and fragmented. Policymaking will at times shift further to the left, with harsher operating conditions for foreign companies in Ecuador, although Mr Correa will promote some pragmatic policies when necessary for maintaining support. Strong rivalry between coastal and highland political and economic elites, and demands for regional autonomy, especially in Guayaquil, will also undermine stability. (Economist Intelligence Unit, Risk Briefing, July 2009.)</t>
  </si>
  <si>
    <t>The government of Mauricio Funes of the left-wing Frente Farabundo Martí para la Liberación Nacional (FMLN), who assumed the presidency in June 2009, is unlikely to destabilise the political system, given that it does not have a majority in Congress forcing it to co-operate with the opposition. Given the polarised political environment and the government's minority position, combined with a contracting economy, some public demonstrations are likely to occur. Public frustration with high levels of violent crime and public sector corruption could all generate a rise in social unrest. Rapidly easing inflation and frustration with privatised utilities, which largely reflect a failure of these companies to reduce prices as expected, could do the same. (Economist Intelligence Unit, Risk Briefing, July 2009.)</t>
  </si>
  <si>
    <t>No fundamental political reforms have taken place since the 2005 election and the root causes of political tensions in the country have not been resolved. Although presently the political environment is stable, there will continue to be a risk of civil unrest resurfacing around the 2010 elections. The border dispute with Eritrea remains a concern and until it is resolved the threat of renewed warfare will persist. Ethnic groups in the Oromo, Afar and Ogaden regions will continue their armed opposition to the government and occasional small-scale flare-ups in these areas are likely. Ethiopia does not have a reputation for routine bureaucratic corruption, but businesses with close ties to government officials are perceived as getting preferential treatment in some sectors of the economy. (Economist Intelligence Unit, Risk Briefing, July 2009.)</t>
  </si>
  <si>
    <t>Mikheil Saakashvili, who was re-elected president in January 2008, will likely face a strong challenge to his leadership in 2009-10. Mr Saakashvili's failed attempt in August 2008 to regain the breakaway province of South Ossetia by force, which led to a brief, but damaging, conflict with Russia, means that there is a considerable risk that he will lose power over the forecast period, particularly if the opposition keeps up pressure on him to resign, such as the campaign of street protests against him in April 2009. The president has put forward five areas in which the government is prepared to work with the opposition, including the establishment of a constitutional commission. However, the opposition is divided over its tactics. This should benefit Mr Saakashvili in the short term, but there remains a considerable risk that he will lose power over the forecast period, or at least that he will be forced to call another presidential or parliamentary election. (Economist Intelligence Unit, Country Profile, October 2008; Economist Intelligence Unit, Country Report, June 2009.)</t>
  </si>
  <si>
    <t xml:space="preserve">Mongolia has a relatively short democratic history (its first democratic elections were held in 1992) and its politics can be turbulent, with frequent changes in cabinet members and coalition partners. Its fragile new coalition government has already faced a difficult few months, with a sharply deteriorating economy necessitating a bailout of the banking sector in late 2008 and an emergency IMF loan was required in March 2009. Faced with a collapse in fiscal revenue in the first quarter of 2009, the government has been forced to make cuts to its social welfare spending programme and will continue to take difficult decisions as it attempts to cope with the ongoing economic crisis. Political tensions may ease now that the May 24th presidential election has concluded, with the opposition Democratic Party (DP) winning over the incumbent Mongolian People's Revolutionary Party (MPRP). Real GDP growth will slow sharply in 2009, to just 2.5%, owing to falling commodity prices and a tighter monetary policy. The government is expected to continue the previous administration's pragmatic approach to foreign policy, reflecting the influence of its larger and more powerful neighbours. The main focus of foreign policy will remain the need to balance relations with Russia, on which Mongolia depends for energy, and China, which it relies on as an export market (Economist intelligence Unit, Country Profile, April 2008; Economist Intelligence Unit, Country Report, May 2009). </t>
  </si>
  <si>
    <t>The real source of political power is the king, Mohammed VI, who has a firm grip on the government. Parliamentary elections in September 2007 passed without major incident, although there were widespread allegations of vote-rigging. The resulting four-party ruling coalition lacks a majority in parliament, but on key votes it is likely to be shored up by other pro-government forces, including the movement led by an MP and confidant of the king, Fouad el-Himma. Bureaucracy remains heavy, and efforts to cut red tape will be limited by the desire to provide jobs. Demonstrations, strikes and social discontent will persist—the result, in part, of the weak economy—but will remain mostly non-violent. With much power concentrated in the hands of the king, the government is not highly accountable. Restrictions on the press have been eased in recent years, though some topics (notably the king and the status of Western Sahara) remain off-limits, or in the case of the role of Islam in the state, remain sensitive. (Economist Intelligence Unit, Risk Briefing, July 2009.)</t>
  </si>
  <si>
    <t>The introduction of multiparty democracy in 1994 ushered in a period of political stability, characterised by democratic pluralism and national reconciliation. However, disputed elections in 1999 and 2004, which were both won by Frelimo, have soured its relationship with the official opposition, Renamo, which has accused the government of fraud, citing numerous irregularities in the polls. Tensions have been exacerbated by Frelimo's president, Armando Guebuza, who has adopted a more confrontational approach to politics and is seeking to consolidate Frelimo's political hegemony, even at the risk of undermining previous democratic reforms. Although Mr Guebuza's firm grip on power has ensured stability in the government and continuity in policy, the entrenchment of Frelimo in power is threatening to return the country to a one-party state, increasing the likelihood that protests against the government will turn violent. (Economist Intelligence Unit, Risk Briefing, July 2009.)</t>
  </si>
  <si>
    <t>Nepal has undergone a momentous political transformation after a decade of civil war, but complex issues relating to the structure of the state remain unresolved. The resignation of the Maoist prime minister, Pushpa Kamal Dahal (known as Comrade Prachanda), and the collapse of the government in May, have created unwelcome new uncertainty at a time when Nepal is already struggling to adjust to a new political system. As the country is without a functioning government, it remains unclear whether the departure of Prachanda will herald the start of more serious turbulence. Economic performance will be heavily influenced by political developments. Nepal will remain relatively sheltered from the global economic downturn, owing to the large contribution of the agricultural sector to the economy. Assuming that the turmoil is only temporary and a continued peaceful transition to political normalcy allows economic stability to improve, the Economist Intelligence Unit estimates GDP growth of 4-5% in fiscal year 2008/09 (16th July-15th July). (Economist Intelligence Unit, Country Report, May 2009.)</t>
  </si>
  <si>
    <t xml:space="preserve">The BCEAO conducts regulatory oversight of MFIs. Since 2008 policymaking authority and authorisation granting is in the hands of a specialised ministry division called la Direction de la Réglementation et Supervision des SFD. This division was born out of the transformation and reinforcement of the previous Cellule d’Assistance Technique aux Caisses Populaires d’Epargne et de Crédit (AT/CPEC). Recent recruitments and new offices for the division are seen as good signs, although microfinance regulatory capacity is still understaffed. The Microfinance Division at the Ministry of SMEs, Women Entrepreneurship, and Microfinance promotes the industry, provides technical assistance and partners with lenders. APSFD, the industry’s professional association, serves as its formal representative to public authorities. APSFD membership is mandatory under the new law. Under the new legislation, MFIs beyond a certain performance threshold (yet to be determined) will be supervised by the Commission Bancaire (banking commission), which supervises more general, commercial banking institutions. 
(BCEAO Instructions; Decret de Réglementation; Lettre Politique Sectorielle; Parmec and amendments; personal interviews: June-July 2009; Rating reports.)
</t>
  </si>
  <si>
    <t xml:space="preserve">The Bank of Thailand has not developed specialised capacity to regulate or supervise microfinance institutions. Microfinance services provided by non-state-owned commercial banks are regulated as commercial banks. Most importantly, the leading providers of microfinance services, state financial institutions, are regulated by the Ministry of Finance, not the BOT. Since these programmes are heavily politicised, regulation and supervision of these institutions is not commercially oriented. Credit co-operatives are regulated by Ministry of Agriculture and Co-operatives (Department of Co-operatives Promotion and the Department of Co-operative Auditing). (Personal interviews: June 2009; Microfinance Gateway.) </t>
  </si>
  <si>
    <t>Specialised expertise and methodologies for microfinance, or even recognition of the activity, are completely lacking. The Central Bank has not shown an interest, and instead seems to regard microfinance with a certain amount of suspicion. In terms of general financial regulation and supervision, the country embarked in 2005-06 on a longer-term ambitious effort to strengthen financial supervision and disclosure and the legal framework, which were deemed by observers such as the IMF and World Bank to be deficient. The regulatory framework for supervision of credit unions is still in formation, and does not appear to contemplate microfinance. (World Bank and IMF, Trinidad and Tobago Financial System Stability Assessment, March 2006; personal interviews: June 2009.)</t>
  </si>
  <si>
    <t>On the face of it, Turkey has a highly sophisticated regulator that is well-experienced and well-resourced to oversee the financial sector. According to the Banking Law, lenders are overseen by the BRSA, which was created following the financial crisis in 2000. It has both the powers and resources to regulate the sector, but takes little notice of Turkey's two MFIs, which are not considered to be systemically important. It does not have any specialised capacity to oversee these institutions. (Turkish Grameen Microcredit Project, 2008; personal interviews: June-July 2009.)</t>
  </si>
  <si>
    <t>There is a specialised unit for MFIs at the BoU that conducts regular on-site visits to MDIs and follows up with institutions to enforce reporting requirements. All examiners get specialised training to conduct adequate microfinance supervision. However, the BoU has been criticised for applying commercial banking standards to MDI supervision. (CGAP Paper 2005.)</t>
  </si>
  <si>
    <t>The government is committed to improving banking supervision and to enhancing the autonomy of the Central Bank, as part of a series of reforms to strengthen the financial system's regulatory framework and to bring it in line with international standards, but progress has been slow. Solvency was 1.92 times over the minimum regulatory limit at end-2008, down from 2.22 times a year earlier. There is practically no specialised knowledge or development of methodologies on the part of the Central Bank, the main financial regulator. However, the Oficina de Planeamiento y Presupuesto (OPP), the office of planning and budgeting) of the Ministry of Finance, which is responsible for overseeing international loans and co-operation, has sought to promote access to funding for microfinance, and to work with other public agencies outside the Central Bank and with MFIs to strengthen the segment. (Personal interviews: September 2007, August 2008; Economist Intelligence Unit, Country Risk Service, April 2009.)</t>
  </si>
  <si>
    <t>The president, Daniel Ortega, whose party controls just 38 out of 92 deputies in the National Assembly, wants to implement a constitutional reform that will allow consecutive presidential re-election. He has also managed to agree a deal with the strengthening opposition in the legislature, allowing legislative activity and policy implementation to improve. Nevertheless, progress on judicial and political reforms will be very slow. Political institutions will remain corrupt and weak. Despite the presence of a non-payment movement among some microfinance clients to protest loan terms and conditions, regulators have not implemented any related policy reforms to date. Although this movement does not currently pose a systemic threat to microfinance regulations or institutions, it remains unclear what level of political support the movement might gain in the future. (Economist Intelligence Unit, Risk Briefing, July 2009.)</t>
  </si>
  <si>
    <t>Political tensions in Nigeria are almost always fraught. However, as the 2007 elections were not as violently contested as many had feared, the outlook for political stability in the longer term is more favourable. Much will depend on the performance of the president, Umaru Yar’Adua, but he has repeatedly pledged his intention to tackle the major problems affecting Nigeria, including electricity supply, the unrest in the Niger Delta and the availability and price of domestically sold fuel products. However, politicians on both sides, as well as ordinary citizens, are becoming annoyed at the slow pace of progress brought about by Mr Yar'Adua's cautious approach to reform. (Economist Intelligence Unit, Risk Briefing, July 2009.)</t>
  </si>
  <si>
    <t>Pakistan’s political stability rating is low, with a D rating. Pakistan was under part-civilian rule from November 2002 until February 2008, when a general election was held. Popular protest against the government has subsided, and the fact that the election proceeded smoothly and that the election results were accepted reduced the risk that the political crisis will deepen significantly. Nevertheless, political stability remains severely compromised by hostility between the two largest political parties in parliament. (Economist Intelligence Unit, Risk Briefing, May 2009.)</t>
  </si>
  <si>
    <t>Political stability is secure, despite the country's tumultuous past. Two decades have passed since the US overthrew General Manuel Noriega’s military regime, and democracy is firmly established. The centrist nature of politics in Panama, with widespread consensus among the main political parties on the importance of preserving Panama’s attractive operating environment for foreign businesses, reduces the risks associated with changes of government. A pro-business conservative, Ricardo Martinelli, won a landslide victory in the May 3rd 2009 presidential election, winning 60% of the vote against the incumbent Partido Revolucionario Democrático (PRD) candidate’s 38%, Martin Torrijos (2004-09). Mr Martinelli’s Alianza por el Cambio (Alianza)also won a firm majority in the legislature. Mr Martinelli has pledged to cut crime rates by strengthening security services, to reform the tax system, making it more favourable for businesses, and to instigate a public spending programme totalling US$6bn (including a US$1bn urban metro system in the capital) during his term. (Economist Intelligence Unit, Risk Briefing, July 2009.)</t>
  </si>
  <si>
    <t>The lack of change was the main feature of the political scene for 61 years until the Partido Colorado (PC) was defeated by Fernando Lugo, a left-wing former priest, in the 2008 presidential election. Although the transition has been relatively smooth so far (Mr Lugo took office in August 2008), risks to political stability have increased. Mr Lugo is struggling to keep his broad and heterogeneous coalition united, which, coupled with a strong opposition stance in Congress, has weakened the government. Recent scandals concerning Mr Lugo's personal life may also weigh on his popularity ratings. Furthermore, a forecast economic recession in 2009 will compound the government's political difficulties. Paraguay is not involved in any major international disputes. However, diplomatic relations with Brazil will be strained as Mr Lugo presses the neighbouring country to renegotiate the treaty that regulates the Itaipu hydroelectricity project in terms more favourable to Paraguay. (Economist Intelligence Unit, Risk Briefing, July 2009.)</t>
  </si>
  <si>
    <t>Political stability risk will remain elevated throughout the forecast period. The government, which took office in mid-2006, lacks a legislative majority in Congress. While social protest will continue to be widespread, it will remain disorganised. In comparison with unrest-prone neighbours Ecuador and Bolivia, there has been little development of organised anti-establishment social movements, and Peru's intra-regional tensions are less acute. The political position of the president, Alan Garcia, will become more precarious as economic growth weakens sharply in 2009 and unemployment rises; he will also continue to face difficult decisions in the face of popular protest. The armed forces do not pose a threat to stability. (Economist Intelligence Unit, Risk Briefing, July 2009.)</t>
  </si>
  <si>
    <t>Parties loyal to the president, Gloria Macapagal Arroyo, increased their majority in the House of Representatives (the lower house) in mid-term congressional elections held in May 2007. However, the president will find it difficult to get her legislative programme through Congress (the upper house), where the opposition has much more representation. Although the risk of Ms Macapagal Arroyo's ouster through a "people power" uprising cannot be entirely discounted, the lack of an alternative presidential candidate and the approach of elections in mid-2010, which Ms Arroyo is not eligible to contest, means that she will probably see out her term. The president also retains the support of the high command of the Armed Forces of the Philippines (AFP). (Economist Intelligence Unit, Risk Briefing, July 2009.)</t>
  </si>
  <si>
    <t>Formally, Rwanda is a multiparty democracy, but in practice—and despite denials from the government—the democratic process will remain heavily constrained, with real power resting in the hands of the president, Paul Kagame, the head of the ruling Rwandan Patriotic Front (RPF). The Economist Intelligence Unit expects that the RPF will remain in control of the government and that there will be no real opposition from within the National Assembly over the forecast period. Increasingly restrictive laws banning "divisionism" mean that people publicly criticising the government, particularly on the charged issue of ethnicity and the apparent political under-representation of Hutus, will continue to risk detention or "disappearance". Many political opponents of the government have gone into exile, and more will follow, but they remain dispersed and politically weak. Although these opponents may eventually pose a serious challenge to the ruling party, this will not be the case during the forecast period. The global slump and the weakening Rwandan economic outlook are unlikely to divert the authorities from their current course of market-orientated reform, supported by the country's main donors. The finance minister, James Musoni, has been successful so far in persuading donors to back an expansionary fiscal policy, and it is looking less likely that relations with donors will be threatened by Rwanda's involvement in the Democratic Republic of Congo (DRC). (Economist Intelligence Unit, Country Report, May 2009.)</t>
  </si>
  <si>
    <t>The March 2000 presidential election saw the Parti Démocratique Sénégalais (PDS) put the ruling Parti Socialiste (PS) out of power for the first time since independence in 1960; the PDS will continue in power for another five years following the re-election of Abdoulaye Wade as president in February 2007. However, following the opposition boycott of the June 2007 legislative election, relations between the opposition and the government are uneasy and political tensions are set to rise after the opposition indicated that it would contest the municipal elections, now being held in March 2009. Social tensions are also on the rise, fuelled by the rising cost of living and attempts by the government to implement austerity measures. Meanwhile, divisions are emerging within the PDS over Mr Wade's succession. There are also concerns that Mr Wade will try to further increase presidential powers, as illustrated by the creation in August 2007 of a 100-member Senate (the upper house), of which 65 are appointed directly by the head of state. This has considerably increased the influence of the president. (Economist Intelligence Unit, Risk Briefing, July 2009.)</t>
  </si>
  <si>
    <t>Sri Lanka is hostage to the ethnic conflict between the minority Tamils and the majority Sinhalese population. The political scene is dominated by two parties with differing views on the Tamil insurgency and economic policy. The government of the president, Mahinda Rajapakse, appears relatively stable. It is supported by a constantly shifting number of legislators in parliament, but rarely looks in danger of losing a majority. The Marxist Janatha Vimukthi Peramuna (JVP) often lends support to Mr Rajapakse, who was elected in the November 2005 presidential election. However, Mr Rajapakse's style of government and the influence of his family irritate many, even within his government, and political volatility poses a constant threat. (Economist Intelligence Unit, Risk Briefing, April 2009.)</t>
  </si>
  <si>
    <t xml:space="preserve">The president, Imomali Rahmon, has been credited with restoring peace and stability following the civil war in 1992-97, and memories of the war remain a force for restraint among older members of the population. However, public dissatisfaction has been rising because of the government's failure to resolve pressing social and economic problems, including a sharp rise in inflation in 2008. Therefore, the Economist Intelligence Unit expects Tajikistan to face a growing threat of instability in 2009-10. Given rising economic hardship caused by the global economic downturn and a fall in remittances, as well as social pressures stemming from the return of large numbers of migrant workers, the goal of structural reform will have to be balanced against preventing a rise in social unrest. The return to Tajikistan of significant numbers of migrant workers from Russia and Kazakhstan will also increase the risk of unrest. Many of these workers—overwhelmingly young men—will struggle to find jobs as the economy contracts. Public disaffection with the authorities will continue to increase, and widespread economic hardship, as unemployment rises and remittance inflows decline, will exacerbate social tensions. Curbing what it claims is radical Islamist activity has continued to be a focus of the legal system and the authorities have continued to harass religious groups. Although the president has appointed an ombudsman, the effect on human rights violations within the judicial system is likely to be minimal.
(Economist Intelligence Unit, Country Report, June 2009.)
</t>
  </si>
  <si>
    <t xml:space="preserve">Tanzania is one of Africa’s most politically stable countries. This partly reflects the political dominance of the ruling Chama Cha Mapinduzi (CCM), which initially ruled Tanzania as a one-party socialist state from independence, but has easily remained the overwhelmingly dominant political force since the introduction of multiparty democracy in 1992. The opposition has made only limited inroads and in the December 2005 elections the CCM secured over 80% of the vote. On the mainland, opposition parties have complained of official harassment, which largely reflects the fact that the police tend to be politically partisan. A poorly trained force has only limited ability to police demonstrations, often overreacting to minor incidents. The semi-autonomous island of Zanzibar is the main source of political violence and instability. (Economist Intelligence Unit, Risk Briefing, July 2009.) </t>
  </si>
  <si>
    <t>Thailand has been beset by political instability since 2006. In September 2006 the government of the prime minister, Thaksin Shinawatra, was deposed in a military coup that was widely suspected of having been orchestrated by the palace elites. Although an election was held in December 2007, the country remains polarised between the elites and middle classes in the capital, Bangkok, and the peasants in the country's populous north and north-east. Street protests led by the People's Alliance for Democracy (PAD) contributed to the resignation of two pro-Thaksin prime ministers. However, an opposing group has since held mass demonstrations against the new prime minister, the leader of the Democrat Party, Abhisit Vejjajiva. With Abhisit's government dependent upon defectors from the pro-Thaksin alliance, political stability is far from assured. An additional concern is the health of the country's 81-year-old monarch, King Bhumibol Adulyadej. The king's death would provoke a period of destabilising uncertainty. (Economist Intelligence Unit, Risk Briefing, June 2009.)</t>
  </si>
  <si>
    <t>Trinidad and Tobago has a long history of democratic government and a stable, multi-party system, but politics is racially polarised; the ruling People’s National Movement (PNM) is generally supported by those of African descent, while the opposition parties, the United National Congress (UNC) and Congress of the People (COP), tend to depend on the Indian vote. Despite these deep divisions, there is little difference in terms of policy orientation, which is generally business-friendly. At the last general election, held in November 2007, the PNM was returned to office for another term. Despite its victory at the polls, the PNM failed to win the two-thirds parliamentary majority needed to reform the country's constitution. In practice, the judiciary has demonstrated its independence on a number of occasions, but frequent clashes with the executive have undermined public confidence in the country’s institutions. (Economist Intelligence Unit, Risk Briefing, July 2009.)</t>
  </si>
  <si>
    <t>The political environment is stable. The rules governing transfer of political powers are clearly established and accepted, and will continue to operate smoothly. Presidential and congressional elections in December 2009 are expected to bring a change in government, ending two decades of centre-left rule under the Concertación coalition. Sebastián Piñera, the presidential candidate of the Alianza centre-right coalition, maintains a substantial lead in opinion polls and is favourite to win the presidency. This would not herald a change in governability or policy direction, but there may be changes in the relative composition of the main coalitions. The armed forces are subject to the democratic authorities, and a coup attempt is very unlikely. Labour organisations have been strengthened as a result of labour reforms, and rising inflation lifts the risk of industrial unrest. International relations are peaceful, although relations with Bolivia, Argentina and Peru have been strained recently. (Economist Intelligence Unit Risk Briefing, July 2009.)</t>
  </si>
  <si>
    <t>The Chinese Communist Party (CCP) will remain in power for the foreseeable future, with officials continuing to stamp out all forms of organised opposition. However, the next five years will be a difficult period for the CCP. Popular discontent has been on the rise in recent years, fuelled by rural-urban income disparity, urban unemployment, land seizures and widespread corruption. Small political reforms may occur in 2009-10, but major changes are unlikely. China's president, Hu Jintao, is comfortably in control of the government, working closely with the premier, Wen Jiabao. Both will make way for a new generation of leaders in 2012. Factional divisions within the ruling party will emerge from time to time, but there appears broad support for Mr Hu's policies to reduce social inequality. (Economist Intelligence Unit Risk Briefing, May 2009)</t>
  </si>
  <si>
    <t>Despite the high level of security risk, the political system functions adequately and the mechanism for the transfer of power is well established. The president, Álvaro Uribe, enjoys high approval ratings, owing to improvements in public security, an economic upturn in 2003-07 and strong leadership. Preparations for a referendum (to be held later in mid-2009) to allow Mr Uribe to stand for a third term in May 2010 are being prepared by his supporters, but this will stoke political tensions among rivals and opposition parties. Abuses by the military against civilians emerged in October 2008, but for most Colombians the army's credibility has improved since the 1990s and the government's democratic security strategy is legitimate. Ideological differences between the Colombian, Venezuelan and Ecuadorean governments will impede the need to co-ordinate measures to curb border incursions by Colombian rebels into those countries. The US continues to provide military financial aid to Colombia, although this will be gradually reduced. (Economist Intelligence Unit, Risk Briefing, July 2009.)</t>
  </si>
  <si>
    <t>Despite some isolated cases of corruption in recent years, the country's long-standing political stability (it has the strongest democratic tradition in Latin America) is safe. The widespread respect for representative political institutions is unlikely to be challenged. Although Óscar Arias from the Partido Liberación Nacional (PLN) won the last presidential election with a small margin, the handover of power was smooth. The number of political parties in the unicameral legislature has increased since 2002 and consensus-building is slow. Measures to protect the population from the worst of the global economic downturn, good relations with the US and the pursuit of a trade agreement between Central America and the EU will be the main focus of policy in the short term. Relations with Nicaragua have been strained over illegal immigration and Costa Rica's navigation rights on the San Juan border river, but we expect the two sides to resolve the issue peacefully. (Economist Intelligence Unit, Risk Briefing, July 2009.)</t>
  </si>
  <si>
    <t>There is substantial specialised capacity for regulation, as the activity of microfinance is regulated (with specific risk categories, credit methodologies, provisioning requirements, etc) rather than specific types of institutions. In addition, the Superintendency recently approved an external rating agency specific to microfinance and it is currently contemplating recreating the special superintendency that formerly supervised credit unions. However, a still blurry definition of microcredit remains a problem, and there are often concerns about the political independence and credibility of the Superintendency. Moreover, the new constitution defines a "popular, social economy", which could potentially include microfinance, and would thereby release the Superintendency from responsibility for the sector. The Superintendency has proposed legislation that would allow it to remain the sector's regulator, but at the time of writing the fate of regulation remains unclear. (Personal interviews: August 2008, May 2009.)</t>
  </si>
  <si>
    <t>Although banks are generally well-regulated, the range of non-banking NBFIs often face problems (although the new law on co-operative banks and credit and loan associations is a step forward), as do potential upgraders who are currently non-regulated. Specialised knowledge and procedures are often lacking (for example, on provisioning), as are laws that would give greater regulatory guidance on microfinance for various categories of regulated institutions. (Personal interviews: August 2008, May-June 2009; Economist Intelligence Unit, Country Finance, December 2008.)</t>
  </si>
  <si>
    <t>The central bank is quite pro-microcredit in practice, but does not have a dedicated team. Supervision is adequate and regulators understand the industry well, according to an informant. The central bank requires very simple reporting through monthly financial statements. (Lebanidze, 2001; Tepnadze, 2002; MIX Market 2005; MicroCapital, March 2006; USAID, August 2008; personal Interviews: June-July 2009.)</t>
  </si>
  <si>
    <t>Specialised capacity has increased in recent years, but is still embryonic. In June 2004 the Monetary Council passed Resolution JM–64–2004, which introduced significant changes in the way a bank’s risk exposure is calculated. In classifying, evaluating and calculating reserves, the legislation separates big business creditors from smaller creditors (micro-credit, consumer loans, mortgages and other business loans), in order to enable a more rigorous analysis of the most substantive part of a bank’s credit portfolio. A Mexican commercial bank, Banco Azteca, was given authorisation in February 2006 to operate in Guatemala, specialising in lending to low-income populations with minimal credit backing; the bank began operations in early 2007. Despite such developments, specialised supervisory and regulatory capacity remains weak in the absence of a law on microfinance that would require the SB to develop such capacity. State support for microfinance activities through second-tier institutions is sorely lacking. General financial sector supervision and regulation, reforms of which began around 2002, has improved in recent years, according to World Bank and other reports. (US Country Commercial Guide: Guatemala, April 2008; International Bank for Reconstruction and Development and International Finance Corporation, Country Partnership Strategy for the Republic of Guatemala, Report No. 44772-GT, August 2008;personal interviews: August 2008, May 2009; Economist Intelligence Unit, Country Finance, December 2008.)</t>
  </si>
  <si>
    <t xml:space="preserve">All commercial banks with microfinance operations are supervised by the central bank. That authority will shift to the newly established Lembaga Pengembangan Jasa Konstruksi (LPJK, Financial Services Supervisory Agency), although the launch of the new institution has been repeatedly delayed since 2004. BI also has special arrangements with other institutions to supervise NBFIs on its behalf. BKDs, for example are supervised by BRI branches.
To supervise banks, BI uses a Capital, Assets quality, Management, Earnings, Liquidity (CAMEL) rating system comprising seven ratios and 25 questions. As of March 2004, BI had suspended 194 BPRs from operations. Since bank supervision is fully decentralised and executed by 41 BI offices in 26 provinces, BI’s staff numbers and capacity to supervise microfinance specifically is considered inadequate. For most BPRs, on-site supervision is undertaken less than once a year. (Meagher 2006; Martowijoyo 2007; PlaNet Finance 2008; Banking With the Poor Network 2009; personal interviews: June 2009; Bank Indonesia; Microfinance Gateway; Permodalan Nasional Madani.) 
</t>
  </si>
  <si>
    <t>Regulation and supervision of the financial sector in general have improved, as has risk-management. However, there is very little in the way of specialised capacity, personnel, or regulatory structure to deal with microfinance in the BoJ. The Development Bank is showing more interest and concern, however, and encouraging MFIs to set up networks and to move toward setting more uniform standards. (Economist Intelligence Unit, Risk Briefing, May 2008; personal interviews: August 2008, May 2009.)</t>
  </si>
  <si>
    <t>The CBK has a microfinance examination team that supervises banks offering MFI services (currently only four institutions) and MFIs. However, the team is limited by capacity constraints and insufficient funding. Other providers of MFI services are supervised by the Commission for Co-operative Development, which also suffers from strained resources. NGOs are regulated by the Ministry of Culture. (Personal interviews: May-July 2009; CGAP country profile.)</t>
  </si>
  <si>
    <t>The central bank is keen on promoting the microcredit industry, which in some ways fulfils the role of normal commercial banking. Although fair political attention is given to the industry, execution still leaves a lot to be desired. Some complain that a refined level of understanding is missing, human resources are low and regulators are reluctant to grant deposit licences. On-site inspections take place regularly for commercial banks, deposit-taking MFIs, and credit unions; however, inspections for MCCs and MCAs occur only when prompted by market signals or client complaints. As a result, some MCCs and MCAs in remote mountain villages never get properly supervised, according to one source. (Molavi and Bedelbayeva, 2002; CGAP report, 2002, 2005 and 2009; Asian Development Bank 2003 and 2004; Tom Jacobs, MLDP 2004; Ledgerwood, White, and Brand, 2006; Microfinance Regulation and Supervision Resource Centre, August 2006; IFC-World Bank Report, 2007, 2008; World Bank, Report on the Observance of Standards and Codes, 2008; personal interviews, June-July 2009; COMTEX, 2009.)</t>
  </si>
  <si>
    <t>The smooth running of the December 2008 presidential and legislative elections has secured Ghana's reputation as one of the more robust democracies in Africa. In the December 2008 election the ruling New Patriotic Party (NPP) lost to the opposition National Democratic Congress (NDC)—the second time power has been peacefully passed from a ruling party to the opposition. To date, there has been little fallout for Ghana from the civil war in neighbouring Cote d’Ivoire, a situation that is unlikely to change. (Economist Intelligence Unit, Risk Briefing, July 2009.)</t>
  </si>
  <si>
    <t>The fragmentation of political forces in the unicameral legislature hampers governability. Álvaro Colom of the Unidad Nacional de la Esperanza (UNE) took office in January 2008, the country's first left-of-centre president since the peace accords of 1996. However, he does not command a working majority in Congress, and therefore needs to build and maintain an unwieldy coalition from a fragmented party spectrum, which weighs on governability and impedes reforms. Soaring violent crime rates and widespread corruption will continue to test the authorities. In addition, dealing with pressure groups such as those opposed to mining activities in indigenous areas will become increasingly problematic. Rising social tension amid a lack of progress on cutting crime rates, lack of action on addressing the concerns of pressure groups, and growing poverty and unemployment rates amid an economic downturn could spark public unrest. (Economist Intelligence Unit, Risk Briefing, July 2009.)</t>
  </si>
  <si>
    <t>The president, René Préval of the Lespwa party, enjoys widespread support from the international community, but will face mounting domestic criticism as the economy deteriorates and poverty rises. Government effectiveness remains limited, as party discipline is weak and the legislature is fragmented. Elections to fill 12 vacant Senate (upper-house) seats, which took place in April and June, were characterised by very low turnout and accusations of fraud. Additional elections for the upper house and the Chamber of Deputies (the lower house) are due to take place in November, when leftist opposition candidates will aim to take advantage of public discontent. Long-term development strategies have been overtaken by the short-term need to address the damage from recent hurricanes and, amid the economic downturn, the worsening of already abysmal living standards of most Haitians. Structural reforms aimed at increasing fiscal revenue are likely to be set back. Efforts will intensify to promote private sector activity by increasing access to credit and improving infrastructure. However, the possible resurgence of political instability, combined with adverse international economic conditions, could hamper both commercial banks’ willingness to extend loans and the government’s ability to move forward with large-scale projects. (Economist Intelligence Unit, Country Report, May 2009.)</t>
  </si>
  <si>
    <t>The military coup against Honduras’s president, Manuel Zelaya, has drawn a chorus of disapproval, particularly from Latin America, where such events, once common, are now rare. The Democratic Charter, heavily backed by the US government, makes having an elected government in place a sine qua non for membership of regional bodies, and access to loans, aid and trade concessions. It is inconceivable that any democratically-elected government could condone the forcible removal of one of their number by the armed forces. However an indication of regional solidarity in the face of the military takeover was given by the Organisation of American States, which delivered an ultimatum to the interim government in Honduras to reinstate Mr Zelaya or face suspension from the regional body. (Economist Intelligence Unit, Views Wire, August 2009.)</t>
  </si>
  <si>
    <t>Transfers of political power are orderly and accepted. Although fundamental political stability is high, political efficacy is relatively low because the waning influence of dominant national parties and the rise of coalition governments have given regional parties stronger influence. This has led to a gradual, but significant, transfer of power from the centre to the states. But the Indian National Congress (INC), which leads the United Progressive Alliance (UPA), received a solid mandate in the general election that was concluded in May 2009, and India's new government is therefore likely to be cohesive, durable and relatively free to implement liberalising reforms, rather than being hamstrung by the demands of recalcitrant coalition partners as Congress was during most of its 2004-09 term. Although Congress fell short of winning a majority in its own right in the 543-seat lower house of parliament, the party's position has been hugely strengthened and we expect the government to last its full five-year term. (Economist Intelligence Unit, Risk Briefing, July 2009.)</t>
  </si>
  <si>
    <t>Indonesia has a young but vibrant democracy. The April 2009 legislative election, while marred by administrative flaws, was transparent and fair, building on the successful elections in 2004. Susilo Bambang Yudhoyono became the country's first directly elected president in 2004 and is likely to be re-elected at the presidential election in July 2009, or a second-round run-off with his nearest rival, Megawati Soekarnoputri, in September. Whoever wins the presidency will lead an extremely unstable coalition government, which will make policymaking difficult, just as it did during Mr Yudhoyono's first term. The military has lost its formal role in politics, and the government is attempting to dismantle the military’s extensive business interests, but there has been strong resistance from within the military. On the international front, Mr Yudhoyono is more diplomatic and less erratic than his predecessors, and has pushed Indonesia into a more active role within international organisations like the UN and the G20. (Economist Intelligence Unit, Risk Briefing, May 2009.)</t>
  </si>
  <si>
    <t>Government formation and political transitions in Jamaica are orderly. Since independence, all governments have been marked by large and stable parliamentary majorities. Third parties have been able to make inroads into the dominance of Jamaica's two main political parties, the ruling Jamaica Labour Party (JLP) and the People’s National Party (PNP). Although the PNP for a time had a leftist policy stance, it has for many years espoused a market-oriented pro-business policy similar to that of the JLP, and differences between the party are a matter of degree only. Given the potential for Jamaica's huge public debt burden to destabilise the economy, there is a broad political consensus on the need for a disciplined fiscal stance, although there is a modest risk that political pressures will create pressure for destabilising fiscal policy reversals. Historical links between criminal "dons" and politicians are weakening, as evidenced by low levels of political violence along party lines in the run-up to the general election in August. (Economist Intelligence Unit Risk Briefing, July 2009.)</t>
  </si>
  <si>
    <t>A broad-based government of national unity, a grand coalition between the governing Party of National Unity (PNU) under the president, Mwai Kibaki, and Raila Odinga’s Orange Democratic Movement (ODM), is now in place, pulling Kenya back from the brink of renewed violence after the disputed December 2007 election. Several hurdles have been overcome, including the passage of legislation to allow power sharing and naming of a new cabinet—including the appointment of Mr Odinga as prime minister—but significant challenges remain: the settlement of long-term grievances, including over land and the constitutional dispensation, and an end to the culture of impunity. Although positive steps are being taken, progress is likely to be slow and could be derailed by in-fighting. As a result, medium-term risks remain significant. (Economist Intelligence Unit, Risk Briefing, July 2009.)</t>
  </si>
  <si>
    <t>The post-Akayev political environment has been shaped by the legacy of the Akayev years—namely, a weak party system in which political allegiances tend to be personal and factional. This has resulted in a political landscape composed of numerous small groups with limited reach. The sidelining of the opposition by the presidential administration in the parliamentary election in December 2007—a poll that was criticised by international observers—continues to cast doubt on the legitimacy of parliament. There is a sizeable proportion of both the political class and the population that has no access to the formal political process, and are therefore prone to taking their grievances to the streets. Another risk to political stability is the spread of Islamic militancy. This tends to be found in the south of the country, notably in Osh and Jalalabad. Therefore, the Kyrgyz Republic will be increasingly vulnerable to the risk of unrest, possibly violent, for the short and medium term. The opposition will continue to mount public protests, but the authorities will deal robustly with dissent. The presidential administration also looks more assured after securing a package of financial support from Russia. An early presidential election has been called for July 23rd. The opposition has failed to agree on a unified candidate in the election, limiting its chances of ousting Mr Bakiyev. (Economist Intelligence Unit, Country Profile, September 2008; Economist Intelligence Unit, Country Report, May 2009.)</t>
  </si>
  <si>
    <t>Internal divisions mean Lebanon's confessional system has resulted in rising political instability. Sectarianism remains the dominant force in the country, around 15 years after the settlement at the end of the 1975-90 civil war aimed to move away from confessional politics. Mistrust between confessional groups became more pronounced following the withdrawal of Syrian forces from Lebanon in 2005, and increased still further in the wake of the July 2006 conflict with Israel, resulting in mass demonstrations of the opposition (representing mostly Shia, as well as some Christians) against the Sunni/Christian/Druze coalition government throughout 2007 and into 2008. The various confessional groups continue to disagree diametrically over almost every policy issue, making a stable government difficult to maintain. There is also a rising incidence of violence, in a country with various armed groups independent of the state and continued tensions affecting the southern border with Israel. (Economist Intelligence Unit, Risk Briefing, July 2009.)</t>
  </si>
  <si>
    <t>Marc Ravalomanana and the Tiako-I-Madagasikara (TIM), have been driven from power by the former mayor of Antananarivo, Andry Rajoelina, who has assumed leadership of a new transitional authority, Haute Autorité pour la Transition (HAT). However, the HAT has not been recognised internationally, leading to the suspension of aid and Madagascar's expulsion from the African Union (AU) and the Southern African Development Community (SADC). In the meantime, economic policy is effectively in limbo, and the government is facing a severe financial crisis caused by the disruption to economic activity and the collapse in aid flows. The most pressing goal for the HAT will be getting the public finances back on track after the sharp fall in revenue caused by the political upheaval and the global downturn. The previous government had a relatively good reputation for financial management, and the technocratic membership of the transitional cabinet will need to avoid populist measures and respect the independence of the Central Bank as it tries to manage monetary and exchange-rate policy. In the absence of donor support, the HAT is likely to seek a successor programme to the IMF's 2006-09 poverty reduction and growth facility (PRGF), which has effectively been in limbo since the collapse of Mr Ravalomanana's government. However, it is unclear whether the HAT will continue with the Madagascar Action Plan (MAP), the poverty-reduction strategy that was heavily associated with the previous regime. Some form of co-operation with the French government and the IMF is likely, although the award of a new IMF programme and the resumption of donor aid will not occur before there has been an acceptable political settlement. (Economist Intelligence Unit, Country Report, June 2009.)</t>
  </si>
  <si>
    <t>The transition to multiparty democracy is relatively recent. The one-party rule of the Partido Revolucionario Institucional (PRI) ended peacefully in 2000 with the election of Vicente Fox of the Partido Acción Nacional (PAN). But while the transition from excessive executive authority to a more effective separation of powers will be beneficial for democracy in the long term, adapting to this shift will be a slow process. In the meantime, the agility of policymaking will be impaired. Also of concern is a lack of public confidence in political institutions, as shown by doubts about the voting process since the 2006 presidential election. The intransigent stance taken by the losing presidential candidate, Andrés Manuel López Obrador, lost him support among moderate voters, but there is still a risk that hard-core supporters of the PRD leader could become more radical in their opposition to the government. (Economist Intelligence Unit, Risk Briefing, July 2009.)</t>
  </si>
  <si>
    <t>The central bank has no personnel dedicated to microfinance, but some senior staff have demonstrated an interest in the field (for example, the bank's director of financial operations also serves as the chairman in one of the mid-sized MFIs). The interior ministry, which regulates NGOs, does not have any specific capacity for examining and regulating MFIs beyond its procedures for NGOs in general. Experts have recommended the formation of a specialised department in the central bank or Ministry of Finance to oversee the reporting of MFIs, but there is no sign of this happening imminently. (Personal interviews: May-June 2009.)</t>
  </si>
  <si>
    <t>CNBV is strong as a general banking regulator, having helped restore the health of banks after the financial crisis of the mid-1990s. However, it still lacks sufficient specialised staff to deal with the institutional diversity and geographic spread of the institutions it supervises and in particular to make field visits. Its admitted incapacity for regulating and fostering microfinance led to the delegated supervision structure that builds on traditional co-operative federations for the SOFIPOs. Although microcredit regulation advanced after the 2001 law (and with some January 2008 regulations requiring personal visits, consultations of credit bureaus, and tighter regulation of arrears), it is still confusing. There are different rules for a confusing array of institutions that causes many entities to work simultaneously under different juridical forms, difficulties in distinguishing consumer lending and microcredit, and several successive deadline extensions for status transformation. The confusion is only growing at least in the short run, with the anticipated promulgation of the pending new law on Popular Savings and Credit from April 2009, still pending implementation of regulations for the CNBV and Banco del Ahorro Nacional y Servicios Financieros (BANSEFI), and possible moves to strengthen consumer protection norms under the Comisión Nacional para la Defensa de los Usuarios de las Instituciones Financieras (CONDUSEF, the National Commission for the Protection of Users of Financial Institutions) in still another set of pending legislative moves. In addition, the transformation of SOFIPOs by 2013 is ongoing. (Meagher et al, 2006; personal interviews: August 2008, May 2009; Economist Intelligence Unit, Country Finance, March 2009; Economist Intelligence Unit, Viewswire, 21st May 2009.)</t>
  </si>
  <si>
    <t>Banking supervision on a general level in Mongolia is relatively well developed in comparison with other countries with similar levels of development. The central bank has built the necessary expertise, trained staff and implemented a supervisory framework for risk-based supervision of banks that complies with the Basel Core Principles for effective bank supervision. Since the primary providers of microfinance services in Mongolia are commercial banks, supervision of microfinance is considered adequate. However, while banking regulation and supervision is well developed, specialised oversight of NBFIs is at the incipient phase and the Financial Regulatory Commission’s lack of experience and knowledge has been cited as a considerable regulatory impediment. The Commission was established in 2006 with a mandate to improve regulatory oversight to the industry. (UNDP 2004; Togtokhbariul 2007; PlaNet Finance 2008; personal interviews: June 2009; Microfinance Gateway.)</t>
  </si>
  <si>
    <t>The central bank is responsible for the regulatory oversight of AMCs, while basic rule-making authority lies in the hands of the finance ministry. MFIs report regularly to the central bank and the finance ministry. Banking supervision and financial regulation in general are strong; however, despite the fact that oversight jurisdiction was expanded to microfinance as of 2005, effective involvement in the industry only dates back to April 2008. This was owing to the request of major MFIs concerned by excessive cross-lending and a surge in non-performing loans (NPLs). The central bank also recently worked with CGAP and IFC to build specialised capacity by harmonising the different definitions of NPLs. MFIs also provide reports to the central bank on a quarterly and annual basis. (CGAP diagnostic report 2005; personal interviews: May-June 2009; FNAM code of conduct; Loi 18-97.)</t>
  </si>
  <si>
    <t>The NRB is responsible for monitoring all financial institutions, including licensed NGOs, to ensure their financial sustainability. Yet the 75 or so institutions providing microfinance services currently covered are not adequately regulated, largely owing to the lack of staff capacity within the NRB’s Supervision Department. As a result, inspections take place every 2-3 years and are often handicapped by inspectors’ inadequate level of understanding and limited experience of microfinance. This situation is compounded by frequent changes in personnel – supervisors are transferred every 3-4 years or less. The intention of this practice is to stem corruption, but a side-effect is to prevent the development of supervisory expertise. Provisions are being made to create a separate, second-tier institution to regulate and supervise co-operatives and other non-bank financial institutions (NBFIs). (Sinha &amp; Sagar, 2007; PlaNet Finance 2008; Banking With the Poor Network 2009; personal interviews: June 2009; Center for Microfinance.)</t>
  </si>
  <si>
    <t xml:space="preserve">The Superintendency has improved its general financial regulation and supervision. After intervening in or closing several insolvent banks in the early 2000s under international pressure, the Superintendency has tightened accounting rules, strengthened loan provisioning standards and beefed up its inspection regime. It pushed domestic banks to adopt US best-practice accounting rules for asset valuation when making loans and to adhere to tighter rules for loan-provisioning. The Superintendency currently has a technical assistance programme with the World Bank to strengthen microfinance regulation, and now has a specialised microfinance unit. Specialised capacity is modest, but growing, although further progress depends mostly on the definitive passage of the pending microfinance law. (Economist Intelligence Unit, Country Finance, February 2008; personal interviews: August 2008, June 2009; Microfinance Gateway.) </t>
  </si>
  <si>
    <t xml:space="preserve">All microfinance providers are required to register either with the Security and Exchange Commission of Pakistan, the central bank, or their respective provincial authority. However, the SBP is the only significant authority for the industry and has several divisions, including the Risk Management &amp; Analysis Division and the Banking Sector Assessment Studies Division. In addition, the bank has a specialised Microfinance Department, which is responsible for formulating microfinance policy. The bank’s oversight capacity is considered to be well developed, but this may be weakened in the future, as politicians in the state of Punjab, where microfinance activity is concentrated, hinted in early 2009 that they may grant amnesty on microfinance loans. As of time of writing, no such amnesty has been granted. (CGAP 2007; PlaNet Finance 2008; SEEP Network 2008; personal interviews: June 2009; central bank; Pakistan Microfinance Network; World Bank, Banking With the Poor.) </t>
  </si>
  <si>
    <t>Poor banking regulation has brought several banking crises since the deregulation of the industry in 1991. Regulation has improved modestly, but bank soundness has suffered in the past year in light of the economic crisis. With technical assistance from multilateral agencies, the Banking Superintendency has in recent years developed in a small group of staff with specialised knowledge of the industry within its oversight office for non-bank financial institutions (NBFIs). There is no dedicated microfinance office or department. Supervisory capacity, including development of appropriate methodologies for evaluating microcredit, is modest, but improving. (Personal interviews: August 2008, June 2009; Economist Intelligence Unit, Country Risk Service, April 2009.)</t>
  </si>
  <si>
    <t>The SBS enjoys a good reputation and was rated 96.6 out of 100 in 2005 by a combined World Bank-IMF mission for the quality of its general financial regulations and supervision. In microfinance, specific regulations and methodologies have been developed for regulated MFIs, such as loan-loss provisioning based on loan status (rather than institution type); increasingly thorough on-site inspection procedures; and increasingly stringent requirement for internal controls in MFIs. With the new legislative decree adopted in June 2008 (and subsequent implementing regulations), the former "modular scheme" of Law 26702, requiring CRACs, CMACs, and EDPYMEs to apply for authorisation to perform additional non-savings operations (besides microcredit) by meeting certain conditions of minimum capital and solvency and undergoing an evaluation for that purpose essentially ended. In its place, a new scheme specifies which activities each type of institution may undertake as a matter of course. In addition, CMACs, which are constituted at the municipal level, can now operate in other departments and provinces. This reflects a certain perception that these specialised regulated institutions have acquired a maturity and sophistication that enables them to compete equally with other regulated institutions. SBS has a well-trained, professional microfinance department and specific reporting and risk-provisioning requirements for microfinance. The adoption of a new decree expanding access to capital markets for regulated non-bank MFIs and a willingness to adapt regulations over time, such as counter-cyclical loan loss provisions adopted during the current global crisis, reflect a high level of regulatory capacity and flexibility. (Ebentreich, 2005; personal interviews: August 2008, June 2009; Rosales, ICC, August 2008; Microfinance Gateway.)</t>
  </si>
  <si>
    <t xml:space="preserve">The central bank has a Micro, Small and Medium Enterprise Finance Specialist Group that provides support to the central bank’s examination departments, although capacity in the Group is moderate. However, bank examiners reportedly still lack appreciation of the unique conditions of the microfinance industry. CDA officers are mainly focused on regulation of the financial operations of credit co-operatives in general and tend to exclude microfinance. The BSP, with assistance from USAID, has also developed a seminar on the supervision and examination of banks with microfinance operations. Congress is working on amendments to the Co-operative Code of the Philippines aimed at harmonising regulation of financial services co-operatives and co-operatives banks supervised by the central bank. CDA’s oversight of credit co-operatives is weak and focused predominantly on regulation of the financial operations of credit co-operatives in general and tends to exclude microfinance. (National Credit Council &amp; Bangko Sentral ng Pilipinas, 2006; personal interviews: June 2009.) </t>
  </si>
  <si>
    <t>The examination capacity of the BNR is very low, owing to an overall lack of capacity. Human capital in the MFI segment (including supervision) is very low owing to the 1994 genocide. Moreover, non-compliance on the part of MFIs is common. Evidence of this can be found in the closure of nine insolvent MFIs in 2006 owing to improper risk management and operating standards, although the passage of the new law is seen as a positive sign. Moreover, since 2007 BNR staff have received microfinance training and capacity is slowly, but steadily, developing. (Rwanda Microfinance Assessment 2005; CGAP 2009; Katengwa paper 2009.)</t>
  </si>
  <si>
    <t>In general, Sudeban is viewed as a fairly well-run banking regulator, and Venezuela has not suffered any banking failures since 2000, although both state-run and private banks experienced liquidity problems earlier in 2009. A 2006 IMF Working Paper identifies several deficiencies in the banking supervisory framework related to the weak supervision of financial groups, treatment of off-balance-sheet items, monitoring of connected lending, and other areas. The General Law on Banks and Other Financial Institutions made Sudeban autonomous and gave it a guaranteed budget, which it has used to expand its staff and improve training. Sudeban is institutionally constrained to a degree, however, in that it must administer politically determined interest rate regulations, quotas for lending to microenterprises and other sectors, and other measures that sometimes distort competition. Under a 2008 change of leadership at Sudeban, moreover, there is now a less favourable attitude toward expansion of microfinance, placing at risk recent modest gains in the bank's specialised capacity and procedures for microfinance regulation. (R. Blavy, Assessing Banking Sector Soundness in a Long-Term Framework: The Case of Venezuela, Working Paper 06/225, IMF, September 2006; Economist Intelligence Unit, Country Finance, July 2008; personal interviews: August 2008, June 2009.)</t>
  </si>
  <si>
    <t>The supervisory capacity of the central bank for microfinance is considered weak. Although its general oversight of financial institutions is improving, the SBV has dedicated only a few staff to the task and informants note that activities focus more on compliance than supervision. Moreover, the dominant providers in the financial system overall and in the microfinance industry specifically, are state-owned banks, and are consequently governed by the Ministry of Finance outside the purvey of the SBV. (Doan 2005; PlaNet Finance 2008; Banking With the Poor Network 2009; personal interviews: June 2009: Microfinance Gateway; Vietnam Microfinance Working Group.)</t>
  </si>
  <si>
    <t>Since March 2009 the Central Bank has been granted the power to regulate MFIs as part of the Microfinance Law. A unit has been set up within the Central Bank to implement the task, but it is still in the process of receiving training. The SFD acts as a de facto regulator for the country's dozen or so MFIs, which are required to file a full set of accounts to the SFD on a monthly basis. However, there are issues sourcing sufficiently trained personnel, and as such the SFD offers a range of educational courses in management, accounting, and IT, with assistance from a subsidiary, the Small and Microfinance Enterprise Promotion Service (SMEPS; which in turn works in partnership with the IFC). (Personal interviews: March-June 2009.)</t>
  </si>
  <si>
    <t>Argentina has suffered episodes of political instability in the recent past, usually triggered by economic stress. After setbacks since coming to power, the government is weak and with testing political and economic challenges ahead, there is a rising risk of further instability, which could end the term of the president, Cristina Fernández de Kirchner, prematurely. The broad political alliance built by the Kirchners has been fractured and the opposition, including from within the ruling Peronist ranks, has been emboldened. This makes the Kirchners’ autocratic leadership style less feasible, but they will struggle to adapt to the new environment, raising political tensions. The Kirchners relied in the past on the presidential powers of patronage, rather than personal loyalty, to build support and a further loss of popularity—in the event of an inflationary spiral or hard landing, for instance—would weaken governability. The Kirchners’ tendency to concentrate power centrally raises concerns about transparency and the strength of Argentina’s institutions. (Economist Intelligence Unit, Risk Briefing, July 2009.)</t>
  </si>
  <si>
    <t>Armenia's political scene will remain volatile. The president, Serzh Sarkisian, will face opposition to Armenia's rapprochement with Turkey, but further progress on this front is unlikely without a withdrawal of Armenian troops from Nagorny Karabakh and the surrounding territory in Azerbaijan. Armenia's recent rapprochement with Turkey has the potential to alter fundamentally the dynamic of its international relations, but the two sides must overturn many obstacles before decades of mutual hostility can be overcome. A possible return to active politics of the president's predecessor, Robert Kocharian, might also cause political instability. Mr Sarkisian has appointed loyalists to leading positions within his administration and the government, but Mr Kocharian still has the support of some parliamentary factions and might seek to exploit dissatisfaction with Mr Sarkisian among the political elite. Mr Sarkisian's three-party coalition government is currently headed by Tigran Sarkisian (no relation), a respected former chairman of the Central Bank who has no party affiliation. The appointment of Tigran Sarkisian indicated the president's desire to appease his critics and to reduce the political polarisation in the country. (Economist Intelligence Unit, Country Profile, March 2008; Economist Intelligence Unit, Country Report, May 2009.)</t>
  </si>
  <si>
    <t>In March 2009 in a constitutional referendum, voters approved a package of changes, including the removal of term limits on the president, paving the way for Ilham Aliyev to contest a third term in office in 2013. Discontent with his rule among the elite is nevertheless likely to increase as economic growth slows. Executive power is concentrated in the presidential office; the cabinet is charged with implementation of presidential decisions. The conflict between Georgia and Russia in 2008 demonstrated Azerbaijan's vulnerability to regional tensions, given its reliance on these two countries as export routes. The risk of unrest motivated by political grievances is low, owing to a lack of public support for Azerbaijan's opposition parties and the authorities' demonstrated willingness to employ force against protesters. However, the risk of social unrest in response to deteriorating economic conditions has increased, with unemployment expected to rise in the coming months and wage growth to slow sharply. (Economist Intelligence Unit, Risk Briefing, June 2009.)</t>
  </si>
  <si>
    <t>The political scene will be dominated by the country's two largest political parties, the Awami League (AL), led by Sheikh Hasina Wajed, and the Bangladesh Nationalist Party (BNP), headed by Khaleda Zia. Following a landslide victory in the December 2008 parliamentary election, the Economist Intelligence Unit expects the AL to monopolise parliamentary proceedings for the next few years and to serve a full term of office. Having secured more than the two-thirds parliamentary majority needed to pass constitutional amendments unchallenged, the AL can govern without the support of any other member of the Grand Alliance (the grouping of 14 political parties which it heads). (Economist Intelligence Unit, Risk Briefing, July 2009.)</t>
  </si>
  <si>
    <t>Two decades of democratic government and peaceful transitions of power ended in a turbulent period that saw the resignations of two presidents in 2002-05. This underlined the fragility of the political system and the polarisation between the indigenous population in the western highlands and those living in the richer and ethnically distinct eastern departments. Governability has deteriorated as clashes between the government of Evo Morales, Bolivia's first indigenous president, and the opposition have increased markedly. Disagreements between the government and the opposition regarding the new constitution and regional leaders' demand for departmental autonomy have led to a political impasse. The risk of violence and political instability will remain high surrounding general elections in December. Nevertheless, Mr Morales's approval ratings are around 54% and he will likely win re-election, strengthening his hold on government. (Economist Intelligence Unit, Risk Briefing, July 2009.)</t>
  </si>
  <si>
    <t>The political scene in Bosnia and Herzegovina has been characterised by low-level instability for some time. The multi-layered governance structure and requirement that political positions be filled according to ethnic quotas by Bosniaks (Muslims), Serbs and Croats, have made it difficult for single parties to establish dominant positions across the whole of the country and have tended to strengthen the hand of parties with ethnically based policy agendas. This has led to governments consisting of either large coalitions of weak disparate members or, more recently, in a return to the pattern of the immediate post-war years, of coalitions between the leading nationalist parties, whose interests are often diametrically opposed. Along with a range of personal animosities between the country's political leaders, this has led to frequent flare-ups and breakdowns in co-operation between governing parties. (Economist Intelligence Unit Risk Briefing, June 2009.)</t>
  </si>
  <si>
    <t>Brazil is a stable democracy. Since two decades of military rule ended in 1985, transitions between elected governments have generally been smooth. In January 2007 the president, Luiz Inácio Lula da Silva, began a second four-year term. Although influential segments within his leftist Partido dos Trabalhadores (PT) advocate a bigger role for the state, cross-party support for disciplined fiscal and monetary policies is firm. Although politicians are discredited, institutions are strong, but reforms are needed to improve effectiveness and transparency. Corruption scandals have periodically helped put political reform back on the agenda, but momentum is generally weak and far-reaching changes are not expected. Executive power is checked by a strong legislature. Brazil has a professional diplomatic corps, enjoys generally good relations with its neighbours and global trading partners, and plays a leading role in conflict resolution in the region. (Economist Intelligence Unit, Risk Briefing, July 2009.)</t>
  </si>
  <si>
    <t>The Cambodian People’s Party (CPP) retains a firm grip on power, controlling the security forces, and the legislative, executive, and judicial branches of power. The prime minister, Hun Sen, has authoritarian tendencies and relations between the CPP-led governing coalition and the main opposition party, Sam Rainsy Party (SRP), are fraught. The threat of serious social unrest along political lines is high. Although a CCP-led government took office soon after the July 2008 elections, previous elections were followed by a period of heightened political tensions owing to lengthy horse-trading between the three main parties. Meanwhile, Hun Sen's close relations with Vietnam's communist rulers have been criticised by anti-CPP groups and have led to small-scale bombings at the friendship monument in the capital, Phnom Penh. Vietnam only ended an 11-year occupation of Cambodia in 1989. Cross-border tensions are building with Thailand, amid a dispute over the Preah Vihear temple. (Economist Intelligence Unit, Risk Briefing, July 2009.)</t>
  </si>
  <si>
    <t>The political outlook for Cameroon is broadly stable, although there are significant risks. As political stability largely depends on the patronage networks of the president, Paul Biya, the main risk to political stability in Cameroon is Mr Biya's sudden departure from the political scene. There are rumours that the 76-year-old Mr Biya is not in good health. Mr Biya has a firm grip on power and has appointed key allies into positions of power. However, dissenting voices within the ruling party, Rassemblement democratique du Peuple Camerounais (RDPC), are becoming louder. The country's opposition is greatly weakened, having lost much of its credibility and public support because of its successive failures to unite against Mr Biya. As a result, the ruling party was able to obtain an overwhelming majority in the 2007 legislative election. Social unrest, fuelled by high levels of poverty and the rising cost of living, has been on the rise in Cameroon, highlighted by major riots in the main urban centres in February 2008. (Economist Intelligence Unit, Risk Briefing, July 2009.)</t>
  </si>
  <si>
    <t>The new MFI law allows for informal mutualist groups (Category 1) to set up shop with no regulation, provided that their annual turnover remains less than US$5,000 and they maintain fewer than 25 members. They are not required to report to regulators, nor do they face minimum capital requirements. Quasi-informal savings and credit co-operatives (Category 2) are required to provide the commerce ministry with quarterly reports on their microfinance activities (including loan, client and funding information). These institutions are free to transform into formal Savings and Credit Co-operatives (SACCOs) and/or Microfinance Banks, provided they can meet the minimum capital requirements. (Katengwa Paper 2009.)</t>
  </si>
  <si>
    <t>The previous MFI regulatory scope excluded, yet recognised, the existence of a non-regulated MFI category: Groupements d’Épargne Crédit (GEC). This category (387 in 2005) was allowed to exist and was recognised by the finance ministry, but a number of GECs were small, weak and failed to comply with minimum prudential and governance requirements. GECs were also widely unsupervised and created a major confusion. The new law aims to consolidate the industry by requiring all GECs either to transform into regulated MFIs (non-mutual MFI or other), or dissolve into existing networks within the next two years. (BCEAO Instructions; Decret de Réglementation; Lettre Politique Sectorielle; Parmec and amendments; personal interviews: June-July 2009; Rating reports.)</t>
  </si>
  <si>
    <t>To offer microfinance services, non-governmental organisations (NGOs) must submit themselves to a modest amount of regulation and create a microlending foundation. Minimum capital requirements are US$10,000 for microlending institutions that do not take deposits. The maximum loan amount for microlending foundations is set at US$50,000. The legal provision for creating such foundations (non-commercial, non-deposit-taking entities) is clearly set out by the law and is well administered in practice. Microlending foundations must register with the central bank and they retain their social agenda as NGOs. As of 2009 there were 42 microcredit foundations, according to the central bank. (Microfinance Centre for CEE &amp; NIS, May 2003; Law of the Republic of Tajikistan on Microfinance Organizations, 2004; World Bank Group, 2004; ADB, 2005; Ministry of Justice of the Republic of Tajikistan, May 2005; IMON, 2006; MicroCapital, March 2006; Aga Khan Development Network, 2008; Blue Orchard, 2008; Berfond, 2009; personal interviews: June-July 2009; Davlatov; central bank.)</t>
  </si>
  <si>
    <t>NGOs are not regulated by the BoT and may provide credit services to clients. However, NGOs are required to submit financial statements and the National Board of Accountants and Auditors will be responsible for monitoring transparency and ensuring NGOs meet disclosure requirements. Those NGOs receiving international donor funding are subject to the Public Finance Law. SACCOs are required to register with the Registrar of Co-operative Societies, but are not regulated. (CGAP Paper 2005.)</t>
  </si>
  <si>
    <t xml:space="preserve">A few domestic and international NGOs do offer microfinance services in Thailand. Owing to uncertainty about the legality of their operations, however, NGO-based programmes tread cautiously and limit their services to members or small groups in the local community. There are also numerous informal programmes run by temples and civil organisations that are unregulated and unsupervised. As unregistered and unregulated institutions, these MFIs have limited access to funds and mostly depend on grants from their parent organisations or money pooled from their members or the local community. They are free to set interest rates (most commercial banks ignore the government’s interest-rate cap, in any case), but given their nature as self-help groups or community-support organisations, they do not take a completely commercial approach when setting interest rates. (Personal interviews: June 2009: Microfinance Gateway; Microfinance Thailand.) </t>
  </si>
  <si>
    <t>While there are no particular restrictions on forming an NGO, there are only a few, very small NGOs operating in microfinance on the island. Apart from that, a few religious charities have small programmes, as does one oil company via its corporate giving scheme. NGOs do not generally access second-tier official funding and instead rely on overseas funding, although one NGO has received loans from Microfin/DHL Caribbean. (Personal interviews: June 2009.)</t>
  </si>
  <si>
    <t>Non-governmental organisations (NGOs) are governed by the 2008 Law on Foundations and the 2004 Law on Associations (member-only entities). Essentially, the legality of microcredit operations of NGOs is unclear under these laws and effectively prevents such organisations from engaging in credit operations. There are no legal mechanisms that allow NGOs to transform into regulated MFIs, but the recent changes to the Foundations Law now allows NGOs to partner with commercial entities to provide financial services. There is no restriction on foreign funding or partnership. (Grossman, Microfinance Expert 2006; CGAP, 2008; Karatas and Helvacioglu, 2008; Turkish Grameen Microcredit Project, 2008; Yang, 2008; personal Interviews: June-July 2009; Duman, 2009; European Commission.)</t>
  </si>
  <si>
    <t>Tier-4 institutions, such as NGOs and SACCOs, fall under the NGO laws and Co-operative Societies Statute of 1991. These institutions are free to form and operate, and are not prudentially regulated or subject to minimum capital requirements. SACCOs must register with the Registrar of Co-operatives, and these institutions make up the vast majority of Tier-4 institutions. The government has also made efforts to support and expand SACCOs with subsidies, through its “Prosperity for All” programme. However, SACCOs have come under criticism for poor governance standards, and the rates offered under the government programme undercut those offered by regulated MFIs (although informants report that the real impact of this programme on established institutions' operations has been limited, owing to fragmentation among providers, political disagreements and funds-disbursement problems). NGOs are regulated by the National NGO Board, under the Non-Governmental Organisation Act of 1989. NGO registration requires the submission of a number of documents, but the details are unclear and the process can be cumbersome as a result. (Microcapital website 2008 and 2009; CGAP Country Profile; personal interview.)</t>
  </si>
  <si>
    <t>The NGO segment consists of a few very small organisations, has not grown much, and has been hit hard by financial crises and by the lack of international funding for Uruguay. They register with the Auditoria General de la Nación (National General Comptroller), which is a fairly easy undertaking. It is virtually impossible for these organisations to accumulate enough capital and a large enough client base to upgrade into regulated institutions, and the lack of a specialised vehicle to which they could turn is an additional obstacle. They could upgrade into SAs, a non-regulated form, which would give them more access to capital markets, and a few have done so. Yet most have a more social orientation, and are not interested in becoming for-profit institutions. They would also have to upgrade processes and procedures in order to make this transition. An incipient network of MFIs is seeking to address common regulatory and governance issues. (Personal interviews: August 2008, June 2009).</t>
  </si>
  <si>
    <t>It is nearly impossible to form and operate new NGOs in microfinance, in part owing to the lack of availability of international financing for such activities in Venezuela. The government also fills directly some of the most logical niches for such organisations. However, there are some foundations and civil associations founded in previous periods that continue to operate. (Personal interviews: August 2008, June 2009.).</t>
  </si>
  <si>
    <t>Under Decree 165, smaller organisations can continue their activities without government authorisation, but without formal supervision they are not allowed to mobilise savings or access commercial loans. The semi-formal industry includes institutions tied to socio-political mass organisations and the Communist Party, such as the Women’s Union or labour unions, and non-governmental organisations (NGOs). In most of these schemes, mass organisations co-service loans using their grassroots member network. As many as 44 such microfinance programmes report to the main Vietnamese microfinance support organisation, the Microfinance Working Group. With an average loan size of around US$100, these programmes are known to reach the very poor, especially women. Yet limited access to capital for lending and funds for capacity building means these semi-formal MFIs often offer poor services that cannot compete with the subsidised VBSP lending programme. The outreach of these MFIs is just 280,000 clients. (Doan 2005; PlaNet Finance 2008; Banking With the Poor Network 2009; personal interviews: June 2009: Microfinance Gateway; Vietnam Microfinance Working Group.)</t>
  </si>
  <si>
    <t>Although NGOs are by no means barred from microfinance activities, there are a host of obstacles if they wish to operate independently. In particular, many have been held back by a paucity of funding and a lack of expertise. Despite this, over the years a number of community groups and concerned individuals have sought to introduce microfinance services, with assistance from the UNDP’s Microstart Programme, begun in 1998. Most have turned to the SFD for further assistance, which has offered financial and technical aid, although the SFD in turn has obliged them to comply with reporting standards. It is worth noting, however, that the SFD's role is merely as a supportive institution, and NGOs are by no means compelled to sign up with the body. (CGAP diagnostic report 2005; personal interviews: March-June 2009.)</t>
  </si>
  <si>
    <t>Central Bank capacity is stretched thin because it supervises the entire financial sector. The historically robust regulation and supervision capacity for microfinance in particular has not kept up with the growth of the microfinance industry, and consequently the quality of supervision has been declining, although it remains fair by regional standards. The Central Bank also has a separate division for credit organisations, which oversees this smaller market segment, and the competence within this department is fair. (Vision Microfinance 2008; CGAP Reports 2009; personal interviews: June-July 2009.)</t>
  </si>
  <si>
    <t xml:space="preserve">The NBA is mainly interested in prudential regulation of deposit-taking commercial banks, and has adopted a fairly light regulatory approach to non-bank MFIs. The central bank’s technical capacity in this area is limited. The Department of Supervision and Licensing and the Department of Supervision of Credit Organisations carry out oversight functions. (Personal interviews: June-July 2009.) </t>
  </si>
  <si>
    <t>Since the late 1980s the ASFI has pursued a gradual market-based approach to building an MFI industry, based on considerable technical expertise and professionalism, the setting of high and transparent standards, and development and refinement of advanced methodologies for evaluating solvency and risk management. Activity-specific, rather than institution-specific, provisioning requirements (by type of borrower and loan status) create a flexible framework. The ASFI 's Intendente de Entidades No Bancarias (IENB, Administration for Non-Banking Entities) has developed field inspection and supervision policies customised for microfinance (including for the BancoSol, which is technically a bank, and Banco ProCredit Los Andes, which is a microfinance FPP owned by the bank Pro-Credito). The ASFI has a sub-department and specific reporting requirements for microfinance. Bolivia has been widely considered a model of successful, innovative regulation and supervision. However, there are worrisome signs in the past two years that merit a downgrading in Bolivia's score this year. A large cut in public sector salaries has led to the continuing exodus of many highly trained specialists from the ASFI and IENB, and political criteria seem to have prevailed in the appointment of high-level regulatory officials and some recent regulatory moves. Moreover, the ASFI now officially come under the umbrella of the Ministry of Finance, losing much of its former autonomy. (de Janvry et al, 2003; Meagher et al, 2006; personal interviews: August 2008, May 2008; Microfinance Gateway.)</t>
  </si>
  <si>
    <t>Previously, microcredit organisations were supervised by the Ministry of Justice and Ministry of Displaced Person in the Federation and the Ministry of Finance in the Republic of Srpska. Under the new law, microcredit companies will be supervised and audited by the respective regional Banking Agencies. These agencies are still in the process of acquiring extra capacity and do not regard MFIs as a systemic risk. The difference between agencies in the Federation and Republic Srpska is said to be quite significant. One has software and the other one does not. They also have their own separate regulations and reporting requirements. Yet market players say both lack understanding as to what microfinance is about and still treat them with suspicion. Actual on-site visits are rare. (Microfinance Centre for CEE &amp; NIS, May 2003; MIX &amp; CGAP, March 2009; personal Interviews: June-July 2009.)</t>
  </si>
  <si>
    <t>Although the Central Bank has strong general regulatory capacity for the financial sector, it remains fairly weak in specialised knowledge, procedures and staff for microfinance (for example in special risk provisioning and credit scoring methodologies). It also shares some responsibility for oversight of MFIs with the Ministries of Justice and (for the use of public resources from the Fundo de Amparo ao Trabalhador-FAT, worker assistance fund) Labour, although though there is poor co-ordination among them. An important recent step was taken, however, in requiring OSCIPs to adopt a unified accounting plan from 2010. Even with regulatory innovations in the current decade such as OSCIPs, SCMs and correspondent banking, microfinance regulation remains underdeveloped. The only operational definition of microcredit applies to those resources that banks and mainstream financial institutions must dedicate to social ends. However, the Central Bank's supervision of, and the transparency of, co-operative governance were strengthened by an April 2009 law (not specific to, but with impact upon, microfinance operations), which expanded the terms of banks’ fiscal commissions and gave a fiscal oversight role to co-operative federations for the first time, including calling member assemblies when problems arise, among other measures.(Personal interviews: July-August 2008, May 2009; Meagher et al, 2006).</t>
  </si>
  <si>
    <t>The SBIF does not treat microfinance as a separate activity with different rules, and does not have significant specialised staff knowledgeable about the industry. For instance, microlending portfolios are lumped together with consumer loans in the "non-evaluated category" for each regulated institution. The SBIF tends to have greater regulatory capacity and knowledge of banks than other regulated financial institutions. Regulations regarding provisioning, arrears, and the like tend to be uniform across different types of regulated institutions. Some of the same limitations apply to regulation and supervision of credit unions by the Department of Co-operatives of the Ministry of Economy. (Personal interviews: August 2008, June 2009; Padilla and Gillet 2001.)</t>
  </si>
  <si>
    <t>The PBOC is responsible for guarding against systemic risks and the CRBC, established in August 2003, formulates and promulgates supervisory rules and regulations. VBs are regulated directly by the CBRC. The CBRC is considered a good regulator, but there is some concern that as the number of VBs grows, its capacity to supervise the industry will be overstretched. However, MCCs are supervised by the provincial governments in which they are registered. Since local government authorities’ oversight capacity is limited and since MCCs do not take deposits, in practice they are loosely regulated. (Sun, R 2003; Du 2005; PlaNet Finance 2008; Sun, T. 2008; personal interviews: July 2009; CBRC; Microfinance Gateway; PBOC.)</t>
  </si>
  <si>
    <t>In general, the Financial Superintendency is known for being very strict and professional in its regulation and enforcement. Regulated institutions must file daily, weekly, monthly, quarterly, bi-annual and annual reports. Annual audited financial statements must be published. A March 2008 presidential decree specifically defined microcredit loans to microenterprises as those in which total debts incurred for explicit business purposes to financial and other institutions do not exceed 120 times the national minimum wage, or US$27,000 currently, and as those to firms with not more than ten employees and no more than 500 times the minimum wage in assets, or US$112,500 currently. This was a step forward, which distinguished microlending from consumer or housing loans and more carefully specified the boundary between small and microenterprises (for regulated institutions); it also specifically allows for personal visits and requires credit checks for such loans. In 2008 microcredit was also recognised as a distinct type of loan for purposes of classification and provisioning. (Personal interviews: August 2008, May 2009; Rosales, ICC, August 2008; Microfinance Gateway.)</t>
  </si>
  <si>
    <t>General banking sector regulation by SUGEF has improved in quality and independence in recent years. However, there is very little emphasis or knowledge about microfinance, and a clear legal definition is still lacking. Microfinance portfolios in practice are often mixed together with commercial and consumer loans, and regulated institutions are not required to monitor the final destination of borrowed resources and frequently fail to do so. Regulations force institutions to treat all borrowers alike (in regard to, for example, loan guarantees). (Economist Intelligence Unit, Risk Briefing, March 2008; Economist Intelligence Unit, Country Finance, February 2009; personal interviews: August 2008, May 2009.)</t>
  </si>
  <si>
    <t xml:space="preserve">While becoming a regulated MFI brings many advantages, there are benefits as well from remaining a non-regulated NGO MFI. They are free from the paperwork associated with prudential regulation, including detailed financial reports to the Central Bank, for example. Non-regulated MFIs need only register with the Securities and Exchange Commission (SEC) as non-profit non-stock entities. Although they are required to submit annual audited financial statements to the SEC, they are otherwise unsupervised, because, in practice, the SEC functions primarily as a corporate registry, rather than a supervisory institution. A small number of non-bank MFIs are organised as credit co-operatives (eight Philippine microfinance-oriented co-operatives are listed in MIX Market, compared with 29 SEC-registered non-profits). As such, they must register with the Co-operative Development Authority (CDA) in a straightforward process that requires, among other things, paid-up capital of not less than P2,000 (around US$40), and notarised copies of the articles of co-operation and by-laws. According to a 2008 FinMark Trust report, more than 65% of all credit co-operatives registered under the CDA are no longer operating owing to mismanagement and governance issues. This is in part a result of the political nature of the CDA, which produces lax regulation, despite the effectiveness of registration processes. 
Neither co-operatives nor SEC-registered non-profits have access to the government Rediscounting Facility, although other specialised financing windows have been opened (such as the Special Agricultural Financing Window), which eligible NGOs and co-operatives can also access along with the banks. As a result of the joint NCC USAID initiative The Credit Policy Improvement Project, the NCC formulated a Regulatory Framework for Microfinance in 2002, which would establish a set of performance standards to be applied to all institutions engaged in microfinance activity, including NGO MFIs and co-operatives. Minimum financial performance and capital-adequacy requirements would also vary by type of institution. The NCC has proposed to support the Microfinance Council of the Philippines (MCP, the country’s largest MFI network) in fulfilling a supervisory role, but this proposal has not passed into law at time of writing. (National Credit Council &amp; Bangko Sentral ng Pilipinas, 2006; personal interviews: June 2009; MIX Market.)  
</t>
  </si>
  <si>
    <t>NGOs and other unregulated MFIs are governed by the Co-operative Societies Act (Amended 2004), Co-operative Societies Rules (2004) and the NGO Co-ordination Act. These institutions can provide credit services to members, but they cannot mobilise deposits. A large number of NGOs provides credit products to clients and many belong to the Association of Microfinance Institutions of Kenya (AMFI-Kenya). A working group is currently investigating new legislation that would regulate these organisations. However, AMFI Kenya also encourages its members to follow governance standards and to comply with regulations. (Personal interviews: May-July 2009; CGAP country profile, KAMFI.)</t>
  </si>
  <si>
    <t>To provide microfinance, non-governmental organisations (NGOs) must register as MCAs and get licensed by the NBKR. Nevertheless, because MCAs cannot take voluntary deposits, they are not subject to capital-adequacy requirements and their microfinance activities are therefore otherwise unregulated (the NBKR only inspects these institutions upon client complaints). The Law on Microfinance stipulates clearly the rules for setting up these non-commercial organisations. Informants indicate that there are no significant obstacles in this registration process. However, the very low entry barriers have resulted in the proliferation of very small, poorly managed MFIs. (Molavi and Bedelbayeva, 2002; CGAP report, 2002, 2005 and 2009; Asian Development Bank 2003 and 2004; Tom Jacobs, MLDP 2004; Ledgerwood, White, and Brand, 2006; Microfinance Regulation and Supervision Resource Centre, August 2006; IFC World Bank Report, 2007, 2008; World Bank, Report on the Observance of Standards and Codes, 2008; personal interviews, June-July 2009; COMTEX, 2009.)</t>
  </si>
  <si>
    <t>Registration as a financial institution under the supervision of the central bank is not mandatory for providing credit services; indeed, this is how Ameen operated in 2003-07. Although there is no legislation specifying whether NGOs can issue loans and collect repayments, so far, the government has treated NGOs engaged in microfinance with considerable latitude. The fact that some NGOs have been successfully registered with microfinance as their sole stated activity also implies an acceptance of lending by the Ministry of the Interior. As a corollary of this, there are no limitations on interest rates or capital-adequacy ratios for NGOs engaged in microfinance. One reason for the relatively hands-off attitude of the government is that many MFIs operate on a subsidised basis, serving specific ethno-sectarian communities and/or run by political movements (for example, al-Qard al-Hassan, operated by Hezbollah). This hampers the commercial aspect of the segment for such NGOs, however, and the sectarian bent confers considerable risk. Informants report that while registration is relatively easy for local NGOs to form and provide microcredit, the formation of NGOs, particularly foreign ones, can be a lengthy and laborious process. (Garmeen-Jameel &amp; IFC, 2008; personal interviews: May-June 2009.)</t>
  </si>
  <si>
    <t>Microlending and microcredit-deposit institutions must be registered as either joint stock companies (JSCs) or limited liability companies (LLCs). The regulatory environment is sound, but the central bank is not keen to issue deposit-taking licences. The central bank may issue normative acts to limit the maximum size of a share package that may be owned by founders of a microfinance organisation. The minimum capital requirement for newly created deposit taking MFIs has recently been increased to US$800,000 and the minimum capital requirement for existing deposit-taking MFIs has been raised to US$200,000; Deposit-taking MFIs are subject to prudential regulation and supervision by the central bank. As of 2009 there were 18 microcredit-deposit institutions and 41 MFIs. (Lauer, Lyman and Sargsian, July 2002; Microfinance Centre for CEE &amp; NIS, May 2003; Law of the Republic of Tajikistan on Microfinance Organizations, 2004; World Bank Group, 2004; ADB, 2005; Ministry of Justice of the Republic of Tajikistan, May 2005; IMON, 2006; MicroCapital, March 2006; Aga Khan Development Network, 2008; Blue Orchard, 2008; Berfond, 2009; personal interviews: June-July 2009; Davlatov; central bank.)</t>
  </si>
  <si>
    <t>There are provisions in the MFI legislation to allow for non-governmental organisations (NGOs) to becoming financial institutions, yet few of the larger NGOs have done so. For example, PRIDE–TZ is currently becoming a deposit-taking MFI, aiming to complete the transformation by end-year 2009. Savings and Credit Co-operatives (SACCOs) are regulated by the BoT as well. The loan provisioning requirements for MFCs are too restrictive for NGOs with risky portfolios to transform. Nevertheless, at least one MFI is currently seeking to become a deposit-taking MFI by the end of 2009. Specialised MFIs are free to set interest rates, and must undergo annual independent audits and submit quarterly financial statements to the BoT. Three commercial banks offer microfinance services and SACCOs are also regulated by the BoT through the Co-operatives Savings and Credit Co-operative Societies Regulations, 2004 and the Financial Co-operative Societies Regulations, 2004. Tanzania Postal Bank offers microfinance services, but has significant problems with delinquent borrowers. (CGAP Paper 2005; central bank 2006.)</t>
  </si>
  <si>
    <t xml:space="preserve">There is no specific law governing microfinance in Thailand and the regulatory environment does not allow for the establishment of specialised microfinance institutions (MFIs). Commercial banks can legally offer microfinance services as part of their main business line, or through a subsidiary finance company, although in practice only one has done so as a small pilot programme, owing to competition from government lenders. The non-governmental-organisation (NGO)-based microfinance programmes, which are unregulated, can transform into a finance company in order to offer microfinance services legally. While the procedure for transformation is not onerous, the capital requirement is Bt50m (US$1.5m). These finance companies cannot take deposits. So far, only one organisation has transformed into a finance company: the Small Enterprise Development Company (SED), run by Catholic Relief Services in the north-east. It has only managed to reach 11,000 households during its 15 years of operation owing to competition from state-backed lenders. (Ulrich Wehnert, Rural Finance Nepal/GTZ, February 2004; Armin Hofmann and Helmut Grossmann, Dec 2005; personal interviews: June 2009; Microfinance Gateway; Microfinance Thailand.) </t>
  </si>
  <si>
    <t>There are no regulations allowing for the downscaling of regulated financial institutions (banks and non-bank financial institutions, NBFIs), or for the upgrading of non-regulated institutions, since microfinance is a non-regulated and unrecognised activity. (Personal interviews: June 2009.)</t>
  </si>
  <si>
    <t xml:space="preserve">According to sources, there is an institutional bias against microlenders, which traditionally support SMEs. Banks have traditionally been more interested in medium and large manufacturing enterprises that offer scale. The authorities have also focused on larger projects that create employment. That explains the absence of specialised microfinance regulation and the fact that the two MFIs that exist in the country operate in a quasi-legal environment. Although one-off legal arrangements established by parliamentary acts enabled two MFI NGO institutions to be created in the past (Maya Bank and Grameen Bank), there are no provisions in Turkey's legal framework to make this process replicable for any other institutions wishing to provide microfinance. (Grossman, Microfinance Expert 2006; Guvenek, Arash, 2006; personal interviews: June-July 2009; CGAP, 2008; Karatas and Helvacioglu, 2008; Turkish Grameen Microcredit Project, 2008; Yang, 2008.) </t>
  </si>
  <si>
    <t>Four international donor-funded MFIs transformed into MDIs after the MDI Act of 2003, but no new licences have been granted since 2007. In addition, Uganda Microfinance Limited (UML) was acquired by Equity Bank in late 2008, setting the number of MDIs back to three. NGOs are unwilling or unable to meet the collateral and capital-adequacy requirements for MDIs because of the higher cost of lending. Banks are free to create microfinance divisions, but none has done so besides the Centenary Rural Development Bank. (CGAP Paper 2005C; GAP Country Profile.)</t>
  </si>
  <si>
    <t>Uruguay has no specialised legal vehicle for microfinance, which is not a regulated financial activity. Co-operatives were initially specialised in what could loosely be called microfinance, but they are now less so; only those that capture deposits from the public are regulated, however, and only one of those plays an important role in microfinance. The SA is a non-regulated legal form that MFIs can take, but it is generally designed for commercial and productive purposes and follows the same registration and organisational procedures as companies more generally. (Inter-American Development Bank internal project document, August 4th 2005; personal interviews: August 2008, June 2009.)</t>
  </si>
  <si>
    <t>A 2008 change of leadership in the Sudeban has resulted in a reconsideration of the previous opening to licence new greenfield banks focused on what was broadly termed microfinance; a dozen applications now appear frozen. However, it is not clear in all cases how genuine the interest in microfinance was behind all these application, and conditions of late have been difficult for institutions licensed previously. It seems likely no more licences will be granted in the foreseeable future. Some existing banks have created separate microfinance entities, often for a mixture of commercial and political reasons. However, these regulated entities face high tax rates, and this together with competition from subsidised public institutions and interest rate restrictions are reasons why portfolios remain limited and the number of institutions active in the segment remains relatively small. (Personal interviews: August 2008, June 2009.)</t>
  </si>
  <si>
    <t xml:space="preserve">Rules for semi-formal microfinance providers to transform into specialised microfinance institutions (MFIs) are provided by two government decrees. Decree 28 on the Organisation and Operation of Microfinance Institutions, passed in March 2005, introduced a legal foundation for formal microfinance institutions with the goal of incorporating them into the financial system. Unfortunately, however, a lack of a clear policy stance, combined with restrictions on microfinance product offerings, ownership and taxation impeded the full implementation of Decree 28. Ultimately, it was amended and superseded by Decree 165 in November 2007. Decree 165 is still considered restrictive, requiring a minimum capitalisation of D5bn (US$500,000), and requiring microfinance organisations (MFOs) transform themselves into limited liability companies. Single ownership is also limited to Vietnamese socio-political mass organisations with ties to the Communist Party; and for MFIs with multiple owners the foreign ownership stake must be less than 50%. 
The main incentives for transformation are legitimacy and access to wholesale funds. To date, no microfinance programme has successfully transformed into a licensed MFI, but several microfinance programmes are preparing to do so. Transformed institutions would be subject to interest-rate restrictions, which cap rates at 1.5 times the central bank's base rate. (Doan 2005; PlaNet Finance 2008; Banking With the Poor Network 2009; personal interviews: June 2009: Microfinance Gateway; Vietnam Microfinance Working Group.) 
</t>
  </si>
  <si>
    <t>Non-governmental organisations (NGOs, civil associations or civil societies under Mexican law) have traditionally been somewhat difficult to form, and faced different state-level registration procedures. However, numerous small NGOs have come to operate in microfinance, primarily limited to microcredit (although, on a more limited basis, some can and have offered savings). NGOs exist in diverse legal forms, and one prominent microfinance institution (MFI), Compartamos, is a former NGO that has upgraded to become a bank and undertook an initial public offering (IPO) in 2008. NGOs are subject to taxes that some of their regulated competitors are not, but on the other hand SOFOMEs (the most tangible upgrading option for an NGO seeking conversion) generally face a higher tax burden and taxes must also be paid on the capital transfer. Weighted against this, the limited ability to capture savings or income from securities transactions provides a motive for changing juridical status, and the limited effective regulation of SOFOMEs (at least to date), an incentive. Particularly given successive extensions of the deadline for conversion of NGOs (and financial organisations, small savings co-operatives, and private assistance institutions) into Sociedades Cooperativas de Ahorro y Préstamo (SOCAPs, regulated savings and loans co-operatives) or SOFIPOs initially contained in the 2001 law or, based on subsequent legal modifications, into non-regulated finance companies with multiple corporate purpose (non-regulated SOFOMEs), for many it seems likely that the conversion will become a matter of competitive necessity in the medium if not the short term. (Meagher et al, 2006; personal interviews: August 2008, May 2009; MIX Market.)</t>
  </si>
  <si>
    <t>Semi-formal providers of microfinance services in Mongolia are mainly pawnshops and traders. The provision of financial services by NGOs is technically illegal, unless they enter into a partnership with a licensed institution, or are involved in the disbursement of credit through various government and project funds and programmes. In practice, since government and donor projects are also legally prohibited from providing financial services, such partnerships do not exist. Nevertheless, some non-governmental organisations (NGOs) operate lending programmes despite laws preventing them from doing so. Superficially, the government discourages their activities in favour of mainstream banks and is frustrated by the fact that some of these NGOs distort the market by making loans with below market interest rates and limited penalties for non-repayment. However, since they reach the poorest and most vulnerable populations that the banks cannot serve, in many cases the government allows them to continue their operations. Because of this uncertain state of affairs, the NGO-driven microfinance programmes that do exist are very small. The government is considering allowing NGO-MFIs to operate legally by upgrading to become licensed as independent NBFIs. (UNDP 2004; Togtokhbariul 2007; PlaNet Finance 2008; personal interviews: June 2009; Microfinance Gateway.)</t>
  </si>
  <si>
    <t>NGOs can only operate in microfinance as regulated institutions. They must operate exclusively in microlending or related technical advisory services.  (CGAP diagnostic report 2005; Policy Forum for the Arab World May 2009 CGAP presentation; personal interviews: May-June 2009; Loi 18-97.)</t>
  </si>
  <si>
    <t>Microfinance services in Nepal are often provided by informal sources, such as community-based self-help groups. More than 40 financial Intermediary NGOs (FINGOs) are in operation and are currently registered with the NRB which, under the Financial Intermediary Act 1998 and its 2002 amendment, gives FINGOs a limited banking licence, allowing them to borrow from commercial banks for client lending purposes. (The NRB has stopped licensing NGOs until a specialised NGO oversight institution is created). Other than the NGOs at the core of rural microfinance banks (such as Nirdhan, CSD, etc) the most important FINGOs are the Forum for Rural Women Ardency Development, the Nepal Rural Development Society Center (NRDSC), Nepal Rural Development Organization (NERUDO) and Tharu and Razi Women Society (TRWS). Interest rates are not restricted by law, but government providers crowd out the market. (Sinha &amp; Sagar, 2007; PlaNet Finance 2008; Banking With the Poor Network 2009; personal interviews: June 2009; Center for Microfinance; Microfinance Gateway.)</t>
  </si>
  <si>
    <t>NGOs must register with the Interior Ministry, and submit annual documentation, including financial statements, in order to be recertified, which can be a time-consuming process. Other than that, they face few restrictions, however. They have sought legislation that would enable them to mobilise savings from the public and become regulated financial entities. At present, they are allowed to handle remittances and engage in some types of microinsurance, in addition to microlending. There are numerous small NGOs (albeit often with offices in multiple cities or locations), and a smaller number of larger ones. (Personal interviews: August 2008, June 2009; Microfinance Gateway.)</t>
  </si>
  <si>
    <t>The legal framework permits NGOs to engage in microfinance with operational flexibility as non-regulated institutions. However, with this status they cannot take deposits backed by government deposit insurance, and in practice they also face non-regulatory obstacles in raising sufficient funds in capital markets for expansion. One NGO (Fundación Paraguaya) was the country's sixth largest microcredit lender as of June 2009 by portfolio and by number of borrowers, according to MIX Market.  Several smaller NGOs have begun or are trying to begin microlending operations. (Banking Superintendency website; MIX Market, personal interviews: August 2008, June 2009.)</t>
  </si>
  <si>
    <t>Credit NGOs and co-operatives/credit unions continue to operate as non-regulated MFIs; the latter are members-only (closed) institutions that specialise in consumer loans. There are still many NGOs that offer credit to their clients, and are neither regulated nor supervised by the SBS. As a practical matter, NGOs that wish to engage in microfinance need—in addition to being already constituted as civil associations registered with the Supervisa y Agrupa a las Dependencias Locales de los Registros Públicos (National Superintendency of Public Registries, SUNARP)—to be registered with the tax authorities, labour authorities, the municipality in which they operate and the Peruvian Agency for International Cooperation's registry of NGOs receiving international assistance. Although these are comparatively easy requirements to fulfil, NGOs face a tax on interest income and a cap on interest rates—in both cases unlike regulated institutions—and do not have access to some second-tier funds; this provides an important incentive for them to try to meet the various requirements needed to upgrade into EDPYMEs. (Risolidaria Solidaridad en Internet 2004; personal interviews: August 2008, June 2009; Microfinance Gateway.)</t>
  </si>
  <si>
    <t>Creating a non-profit NGO microfinance foundation is not difficult, but all NGOs operating in microfinance are governed by the Law on Microfinance Institutions, which imposes certain regulations. For example, minimum capital requirements are set, but these are low, at only €25,000 Euros.  The maximum loan amount they are allowed to issue is €5,000 Euros, which according to CGAP experts the actual average loan size for most MFIs is already at or above the prescribed limit level for foundations. However, this is seen as a not particularly useful intermediate step to upgrading to an MCC, as NGOs then find it very hard to attract more resources and migrate to profit-oriented operations. CGAP reports that “the process of re-registering from one form to another is somewhat lengthy and not uniform across the administrative divisions of the country, and may be disruptive for day-to-day operations of MFIs". (Microfinance Centre for CEE &amp; NIS, May 2003; MIX &amp; CGAP, March 2009; personal interviews: June-July 2009.)</t>
  </si>
  <si>
    <t>"Traditional" NGOs that have not turned into OSCIPs or SCMs face unique constraints among MFIs, such as usury laws (4% cap on monthly interest charges for loans to microenterprises, 2% for other types of credit) and lack of access to many public funds. They undergo little official oversight and no financial supervision, although OSCIPs have recently been given until 2010 to adopt a unified accounting plan. (Meagher et al, 2006; personal interviews: July-August 2008; May 2009; Microfinance Gateway)</t>
  </si>
  <si>
    <t xml:space="preserve">In drafting the microfinance law, COBAC strategically chose to regulate the financial activity regardless of the institution’s legal form, and non-regulated MFIs are common. Under the law, non-regulated MFIs are not allowed to use a name or language that implies that it they are regulated. 
In 2005, in an effort to consolidate the industry, COBAC carried out large-scale closures of non-compliant non-regulated institutions that failed to meet licensing requirements or that were inactive. This raised questions about the adequacy of licensing and prudential requirements for small co-operatives and village-based institutions. The process of obtaining a permit is slow and costly for such MFIs. (Personal interviews: June 2009; Recueil des textes réglementaires relatifs à l’activité de microfinance dans la Communauté Economique et Monétaire de l’Afrique Centrale.) 
</t>
  </si>
  <si>
    <t>NGOs mostly operate in the capital, Santiago, they are very small, and their presence in microfinance has declined in recent years as international funding has dried up. They must register with the Ministry of Justice, but are not closely supervised. Only one (newly registered) is now listed in MIX Market. While they enjoy certain fiscal advantages vis-à-vis regulated institutions, and if they meet certain conditions (accounting standards, audits, etc) can access state funding lines, NGOs are lacking in the capital and expertise to upgrade to regulated status, and do not have strong incentives to do so. (Padilla and Gillet, 2001; personal interviews: August 2007, August 2008, June 2009.)</t>
  </si>
  <si>
    <t xml:space="preserve">There are currently around 100 non-governmental project-based microfinance organisations (MFOs) operating in China. The government estimates that around Rmb1bn (US$147m) of total money lent in China comes from MFOs They are registered with and governed by local civil affairs departments and other related authorities. Compared with VBs and MCCs, registration time and capital requirements for NGO-based microfinance programmes are more lenient. When taking the form of a Society, the minimum start-up capital for national level Societies is Rmb100,000 (US$14,600); for Societies at the local level, the minimum capital requirement is Rmb30,000. For a foundation, the minimum initial fund requirement is Rmb2m.      
However, MFOs have no legal status as financial institutions and therefore can neither mobilise deposits nor use debt to grow; all capital must be donated. As a result, many of these organisations are still running on money given to them as grants ten years ago, when they were set up by international donors, such as the UNDP and the Grameen Trust. (Sun, R 2003; Du 2005; PlaNet Finance 2008; Sun, T. 2008; personal interviews: July 2009; CAM; CBRC; Microfinance Gateway; PBOC.) 
</t>
  </si>
  <si>
    <t>Colombia has one of the largest non-regulated MFI segments in the region, and one of the major obstacles to non-governmental-organisation (NGO) funding was recently removed. The deposit requirement on foreign inflows effective since May 2007 was eliminated in September 2008. NGOs face no significant regulatory barriers in forming and becoming active in microcredit, although they are also subject to usury rates, which affect them more than regulated institutions, given their higher operating costs. Pursuant to the Civil Code and Decree 1529/90, NGOs register as non-profit associations with the respective Chamber of Commerce and territorial government. Sources of funding include international philanthropy, socially responsible investments, and even—if standards are sufficiently high—local bank loans and bond issues. Indeed, much funding for the microfinance industry comes from domestic sources. Several specific types of non-finance co-operatives also operate on a non-regulated basis: full-service co-operatives with a savings and credit section, multi-purpose co-operatives with a savings and credit section, and specialised savings and credit co-operatives. Like regulated finance co-ops, they register with the Chamber of Commerce, but unlike them they are licensed by the Superintendency of Mutualistic and Co-operative Societies, a non-financial governmental entity. (Curat et al, 2007; personal interviews: August 2008, May 2009; Microfinance Gateway.)</t>
  </si>
  <si>
    <t>It is fairly easy to form an NGO and operate in microfinance. The relevant laws under which NGOs may alternatively be constituted are the Law of Associations, Law of Foundations, or Law of Civil Societies; 11 of the 12 Costa Rican microfinance institutions (MFIs) listed in MIX Market as of May 2009 are NGOs. However, NGOs tend to be small and undercapitalised (except the two largest), and they lack access to international co-operation, given the country's more developed status, or to much in the way of suitable public second-tier funding. They are subject to the same taxes as regulated institutions. (Personal interviews: August 2008, May 2009.)</t>
  </si>
  <si>
    <t>NGOs are among the most numerous (although not the largest) microfinance providers in the country. It is not difficult to open an NGO or a microcredit operation in regulatory and legal terms. Pursuant to the NGO Law, the segment-specific ministry is in charge of regulating the operations of the NGO. In the case of microcredit-specific NGOs, it is the Ministry of Finance. The office of the attorney-general is in charge of regulating the incorporation of NGOs. Practical limits exist in terms of NGO growth, given the prohibition on capturing public deposits, although they can access both international and public second-tier funding. (Personal interviews: August 2008, July 2009; Marina Ortiz and Mario Davalos, Sondeo sobre las Microfinanzas en la República Dominicana, CORDAID, 18th November 2008.)</t>
  </si>
  <si>
    <t>Numerous NGOs (including foundations and community and solidarity banks) operate in microcredit; MIX Market alone listed 15 (according to MIX Market in early June 2009). Other non-regulated institutions providing microfinance are savings and credit co-operatives under the (non-financial) supervision of the Social Welfare Ministry; although estimates vary, there exists at least 500 non-regulated co-operatives, although figures as of early 2008 indicate that such institutions represented around 30% of all microcredit loans in the country. Also under the non-regulated category, private informal lenders and popular organisations provide savings and credit services for their members. However, NGOs face problems in terms of scale and capitalisation, and increasing difficulties in competing with banks and regulated institutions. Some are considering upgrading as a result, as are some non-regulated credit unions; they will first have to meet certain reporting, provisioning, risk-management, and minimum capital requirements, however. (CGAP Microfinance Regulatory Centre, 2008; personal interviews: August 2007, August 2008; Red Financiera Rural 2008; Garcés Dávila, March 2009.)</t>
  </si>
  <si>
    <t>NGOs and non-regulated co-operatives face no significant legal or regulatory restrictions in forming and operating. They register with the Ministry of the Interior. Fund-raising has become an issue as international assistance has dried up. In the past, the second-tier public institution that on-lends to non-regulated microfinance institutions (MFIs), the Banco Multisectorial de Inversiones (BMI), could only do so through a trust. However, based on a change in the law governing the BMI that came into effect in November 2008, it can now on-lend directly, provided that non-regulated MFIs meet certain stringent governance standards and comply with other restrictions. (Personal interviews: August 2008, May-June 2009; Microfinance Gateway.)</t>
  </si>
  <si>
    <t xml:space="preserve">According to the current law, non-governmental organisations (NGOs) are not allowed to engage in any entrepreneurial activities. Therefore, all NGOs that wanted to launch microfinance products had to do so by the deadline set by the National Bank in 2006 and re-register as for profit entities. Although there is no written regulation outlining the process for transforming from an NGO into an MFO, in most cases NGOs created privately owned LLCs, of which they became a major shareholder. As an LLC, registration with tax authorities and licensing from the Georgian Financial Supervisory Agency can be completed. (Lebanidze, 2001; Tepnadze, 2002; MIX Market 2005; MicroCapital, March 2006; USAID, August 2008; personal Interviews: June-July 2009.) </t>
  </si>
  <si>
    <t>Around 300 NGOs operate in Guatemala, around 45 of which in microcredit. Of the 17 Guatemalan MFIs evaluated by MIX Market, 16 are NGOs. It takes no more than four months and Q3,000-5,000 (US$370-610) to register an NGO. NGOs are subject to taxation when using non-donated funds. Second-tier funding is expensive and international funding comes in the form of hard currency. Fund-raising is difficult because they can not take deposits. The lack of regulation permits operational flexibility and freedom to target clientele as organisations see fit, but limits their capacity to offer broader financial services and to become more professionalised entities. (Real Instituto Alcano, April 15th 2004; personal interviews: August 2008, May 2009.)</t>
  </si>
  <si>
    <t xml:space="preserve">The main unregulated providers of microfinance services are co-operatives. Other than putting up seed capital and registering to the Ministry of Co-operatives, co-operatives are not closely regulated or supervised. Guidelines for co-operatives exist, but the lack of oversight means that these are not often followed. Operations are generally small and limited in terms of both geography and services. Semi-formal microfinance providers also include thousands of non-bank financial institutions (NBFIs), such as Badan Kepegawaian Daerah (BKD, village credit organisations) and Lembaga Dana Kredit Perdesaans (LKDPs, rural credit fund institutions). These institutions are not directly regulated by Bank Indonesia, but must register and obtain licences from state authorities and/or regional governments. These institutions serve over 1m clients. However, their services are extremely limited, as they often open only once a week and offer only a passive savings-mobilisation strategy. Only a few have more than 5,000 clients. 
NGOs in Indonesia are not allowed to offer microfinance services, although there are some unlicensed operators in the country. Those that do so are generally unsustainable and depend on donor funds, as they cannot accept investment from wholesale funders. By law, NGOs wishing to provide microfinance services must transform into a BRP or purchase one. (Meagher 2006; Martowijoyo 2007; PlaNet Finance 2008; Banking With the Poor Network 2009; personal interviews: June 2009; Bank Indonesia Microfinance Gateway; Permodalan Nasional Madani.) 
</t>
  </si>
  <si>
    <t>NGOs, operating as civil associations, may in principle offer microcredit, although only a small number do so, and none is listed in MIX Market. Their inability to raise capital (including deposits) and relatively weak access to public support are significant obstacles. (Personal interviews: August 2008, May 2009.)</t>
  </si>
  <si>
    <t xml:space="preserve">Although all MFIs are subject to a maximum lending interest rate of 27%, Parmec favours mutual MFIs, which are the dominant MFI form (over 439 in 2005) by explicitly granting them tax exemptions from all direct and indirect taxes in general and more specifically the Taux sur les Operations Financières, which is a tax on all interest and fee revenue. Furthermore, although the law explicitly states that banks and financial institutions must pay the tax, it does not refer to other legal MFI forms (non-mutual MFIs) directly, consequently generating ambiguity regarding the tax status of these institutions. Non-mutual MFIs must also pay an 18% VAT tax on interest revenue. Despite the fiscal advantages that mutual forms hold, they have limited growth potential owing to their management design: owners are also depositors, creating an inherent conflict of interest and introducing a lack of professionalism. The majority of non-mutual MFIs are affiliated with a network; there are four main networks and seven in total. Besides Parmec, MFIs must comply with eight detailed instructions from the Banque centrale des Etats de l’Afrique centrale (BCEAO, the central bank), which set reporting rules and prudential requirements. For instance, non-microfinance activities may not exceed 5% of total activities; credits may not exceed 2x deposits; deposits of one member may not exceed 10% of total deposits; and there is a 15% reserve on net profits. It is not clear whether these requirements are entirely monitored and implemented. In fact, a number of non-mutual MFIs, especially those that are not affiliated with the four major networks, fail to comply. The new instructions for non-mutual MFIs under the new law have not yet been disclosed, although the MFI segment’s key players are planning to meet in September 2009 at a government workshop to discuss the new instructions. 
The new legal framework is expected to be more conducive to the formation of new non-mutual MFIs than Parmec. As part of this new framework, there has been much discussion surrounding the possibility that tax benefits will be generalised beyond non-mutual MFIs so that non-mutual MFIs may also enjoy explicit tax exemptions, which would improve their profitability and operations. The Structures Signataires de Convention Cadre (signatories of framework conventions), are in the form of limited companies or NGOs (there are around 6 of them, including one commercial MFI). These currently operate under a restrictive five-year renewable convention with the Ministry of Finance. Under the new law, all MFIs fulfilling eligibility criteria may apply for a permit from the finance ministry. (Central bank instructions; Decret de Réglementation; Lettre Politique Sectorielle; Parmec and amendments; personal interviews: June-July 2009; Rating reports.)
</t>
  </si>
  <si>
    <t>The Bangko Sentral ng Pilipinas (BSP, the central bank) is responsible for licensing MFIs. According to the BSP year-end 2008 report, the bank has licensed nine microfinance-oriented banks and 221 rural banks, co-operative banks and thrift banks with microfinance operations. These banks are free to set market interest rates and are not burdened with excessive documentation. The process for qualified NGOs to transform themselves into a microfinance bank is fairly straightforward. At least four NGOs have become rural banks, led by CARD Bank, the first NGO to be granted a licence to operate a rural bank in 1997. It has retained its NGO arm, known as CARD NGO, which establishes new branches in unbanked areas, nurtures them and then sells them to the bank. The Central Bank has yet to decide whether other NGOs can mirror the CARD strategy. Since 2001 regulated MFIs have been allowed to engage in unsecured lending that exceeds the normal prudential maximum of 30% of total portfolio, and have been allowed to engage in cashflow-based lending. The policy environment since 2000 has encouraged the establishment of new microfinance banks and the commercialisation of the microfinance industry; upgrading of NGOs has been specifically promoted. The government has offered various incentives, such as certain tax exemptions, low minimum capitalisation requirements and a tiered licensing structure, and technical assistance to new entrants. However, owing to worries of rural banks failing as a result of the financial crisis, the BSP has lately been encouraging qualified NGO MFIs and other financial institutions to take over existing rural lenders. (Microfinance Gateway Highlights 2008; Bangko Sentral ng Pilipinas, 2009; personal interviews: June 2009; CARD Bank.)</t>
  </si>
  <si>
    <t>Non-governmental organisations (NGOs) and banks seeking to establish an MFI must register with the BNR and obtain a licence as a Limited Responsibility Society or an Anonymous Society. They must have at least Rwfr300m (around US$530,000) in capital, and are not subject to any size limitations. The Union des Banques Populaires du Rwanda (UBPR), previously a large credit co-operative network, received a commercial bank licence in 2008. Additionally, Urwego Opportunity Microfinance Bank is a fully licensed bank providing microfinance services. In contrast with all other institutions operating under category 3, savings and credit co-operatives regulated by the BNR are subject to reasonable minimum capital requirements of RWF5m. Reporting requirements are not burdensome and disclose MFI’s loan, client, funding and provisioning details on a monthly basis. (Katengwa paper, 2009.)</t>
  </si>
  <si>
    <t>EDPYMEs are also regulated by the SBS under the same umbrella legislation. They are non-deposit-taking institutions that are often owned by non-governmental organisations (NGOs); the difficulty in raising capital, particularly through deposit-taking, has been the one weakness of this otherwise potent MFI vehicle. Most of the currently existing EDPYMEs were formerly credit NGOs. Until now, their numbers and profitability have increased, and as a group their combined portfolios recently surpassed those of CRACs. These organisations transformed into regulated MFIs because they wanted to be regulated (with advantages like greater access to wholesale finance) and/or they wanted to avoid paying value-added tax (VAT) on interest earned on their loans, as NGOs do. NGOs that have retained that status have a regulatory pathway to upgrade into EDPYMEs if they fulfil certain steps outlined in the General Law, related to loan-provisioning, risk management, information-disclosure, and the like. However, formalisation can be costly, according to one EDPYME executive whose organisation undertook the process. Under a June 2008 decree and implementing regulations issued in December 2008 and expected in July 2009, the precise activities that each of the three types of non-banking regulated MFIs may carry out are enumerated, and expanded to include some previously restricted to banks (trading stocks and bonds, mortgage lending, etc). Hopes that EDPYMEs would be allowed to capture deposits, however, do not seem likely to be quickly or wholly fulfilled. If this is to happen in the longer term, it would have to be a two-step process involving conversion first into a finance company and only later into a bank. Finance companies can offer a greater range of services and access capital markets more easily, so they are an attractive alternative, even though they still fall short of deposit-taking, which is reserved for banks. Some EDPYMEs are currently making plans to convert into finance companies; indeed Edpyme Edificar has already done so, in 2008, if certain provisioning, capital, and risk-management guidelines are met. Whether any can meet the mores stringent further requirements to transform into a bank in the near-to-medium term future remains questionable. (Ebentreich, 2005; Diario La Republica website, June 24th 2008; personal interviews: August 2008, June 2009; Microfinance Gateway.)</t>
  </si>
  <si>
    <t xml:space="preserve">The main formal providers of microfinance are the nine microfinance banks, five of which are state-run and five of which are the result of NGO upscaling. The five state-run banks are officially classified as RRDBs, one per region, and these are in various phases of privatisation. The five others created by NGOs are officially classified as MCDBs, owing to the Development Banks Act of 1995. According to this Act, upscaling may be allowed once an NGO has developed certain governance and internal control systems and transferred its portfolio. However, informants report that these decisions are often politically motivated and that upgrading requires political influence to be successful-- upgrading has not occurred since the 1990s.
Since 2004 the Bank and Financial Ordinance has placed regulatory responsibility on the central bank and prudential regulations vary depending on RRDB and MCDB status. Prudential regulations are more lenient for the completely private MCDBs than for the RRDBs. Similarly, the capital adequacy requirements for MCDBs are more relaxed as compared with those of RRDBs. There are no interest-rate restrictions in Nepal, but the role of government institutions has kept lending rates unsustainably low (18-20%). The NRB has also imposed a limit on microloans of NRs150,000. (Sinha &amp; Sagar, 2007; PlaNet Finance 2008; Banking With the Poor Network 2009; personal interviews: June 2009; Center for Microfinance; Microfinance Gateway.) 
</t>
  </si>
  <si>
    <t xml:space="preserve">In 2005 the central bank issued Transformation Guidelines to permit NGO-MFIs, rural support programmes (RSPs) and co-operatives to transform into formal MFBs. The first private sector MFB, the First MicroFinanceBank, was established in 2002 through the transformation of the Aga Khan’s RSP microfinance operations. There are now six MFBs operating in the country. Four are active at a national level and two are active at the district level. In 2006 the central bank also issued guidelines for commercial banks interested in offering microfinance services. Banks can provide microfinance in four ways: by establishing microfinance branches; by establishing microfinance counters at existing branches; by creating microfinance subsidiaries; and by on-lending. Despite these guidelines, few banks are active in this space. (CGAP 2007; PlaNet Finance 2008; SEEP Network 2008; personal interviews: June 2009; central bank; Microfinance Gateway; Pakistan Microfinance Network; World Bank, Banking With the Poor 2009.) </t>
  </si>
  <si>
    <t>Unlike in some other countries, there are no special laws or provisions for single-purpose, regulated microfinance institutions (MFIs). However, such specialist MFIs are not expressly prohibited, and some semi-regulated credit companies were able to upgrade into regulated finance companies in the 1990s. Several finance companies are now specialising in microfinance. In 2007-08 one finance company specialising in microfinance, Banco Visión upgraded into bank status, followed in January 2009 by a second, Banco Familiar, suggesting a promised upgrading path has opened for already regulated institutions. NGOs and credit unions that provide microfinance are not financially regulated and would need to meet minimum capital requirements to become finance companies. Practical, non-legal, fundraising constraints in capital markets have prevented NGOs in particular from upgrading. (Berger et al, 2003; personal interviews: August 2008, June 2009; Banking Superintendency website.)</t>
  </si>
  <si>
    <t xml:space="preserve">To operate as specialised MFIs, banks must transform themselves into AMCs. Although two of the country’s major banks have found ways to enter the sector through the formation of AMCs that they initially capitalised and continue to provide with permanent technical and financial support, the operational separation between the mother institution and the AMC presents a disincentive for banks looking to downscale; moreover, while the legal framework does not seem to discourage AMC formation from a registration standpoint, their number remains low. However the role of banking institutions in microfinance is expected to grow in the near future owing to growing concern over portfolio risk. Banks are now seen as more fit to deal with a large network, a riskier clientele base and product range. Evidence of this trend is seen in the recent merger of NGO Zakoura pour le Micro-crédit and Banque Populaire affiliated association Fondation Banque Populaire (FBP), making it the country’s second-largest network. 
Specialised NGO-MFIs can only operate in microlending or related technical advisory services. The legal framework is more conducive to the creation and operation of specialised NGO MFIs than upgraded ones. As a result, Morocco has the most vibrant network in the Arab World, accounting for 47% of the region’s total Gross Loan Portfolio (GLP). Documentation requirements are reasonable, except perhaps, for a requirement of a detailed five-year financial plan that may prove difficult to substantiate for small operations. Although there is no capital requirement defined by law, in practice the finance ministry may oppose a permit on the basis of an inadequate capital-asset ratio, and requires that MFIs hold an amount of equity capital consistent with its five-year forecasts. Moreover, MFIs are encouraged ,but not required, to be in line with Basel II, as some of them interact directly with banks. However, the law also presents certain obstacles to the transformation of such MFIs. The association form they must take to operate in microfinance prevents them from benefiting from certain available financial instruments and equity mobilisation. When applying for a permit to operate as an MFI, NGOs are not allowed to raise capital from deposits or handle remittances. MFIs are exempt from income taxes for five years after a permit is granted; however, most exemptions were extended only until 2010. The law also limits microcredits to a maximum of Dh50,000 (US$7,355), leaving the very small enterprise market untapped; finally, MFIs face the general foreign exchange law constraints preventing them from raising debt in international MFI lending markets. (CGAP diagnostic report 2005; Policy Forum for the Arab World May 2009 CGAP presentation; personal interviews: May-June 2009; Loi 18-97.)
</t>
  </si>
  <si>
    <t xml:space="preserve">A greenfield investor must choose between establishing a commercial bank or an NBFI. The government is considering allowing NGOs to be licensed as independent NBFIs in order to offer financial services (currently they are prevented by law from doing so), but it is not clear when this will take place. Regulations do not present a significant barrier to the creation of an NBFI (although the capital adequacy ratio for NBFIs is high at 20% compared with 12% for banks). Nor is the process for obtaining a licence time-consuming (usually a matter of weeks). Indeed, there are 130 licensed NBFIs in the country. Most NBFIs, however, are quite small. The total outreach of NBFIs is just 53,000 clients. (UNDP 2004; Togtokhbariul 2007; PlaNet Finance 2008; personal interviews: June 2009; Microfinance Gateway.) </t>
  </si>
  <si>
    <t>There are no specialised vehicles intended exclusively for microfinance, although SOFIPOs, SOFOLEs, and SOFOMEs (legal figures created by a 2001 law) can be adapted for that purpose, and, adding to the current obfuscatory regulation, now yet another new vehicle for upgrading or downscaling may be emerging in the form of niche banking licences. Until recently, the relatively small number of banking licences granted in recent years, together with strict prudential standards, have discouraged banks from downscaling into microfinance, with a few notable exceptions. However, following congressional approval in February 2008 of laws allowing for the introduction of niche banking licences, the CNBV was given responsibility for developing the specific regulations, still pending as of June 2009. The less costly and more flexible licences with lower minimum capital requirements (around US$12m compared with around US$30m for a traditional "multiple-service" bank licence), with in principle more activity-focused supervision and regulatory requirements, could potentially become a means of creating specialist microfinance banks and/or a vehicle for transforming the dwindling number of SOFOLEs, the relatively small number of SOFIPOs, and the now numerous non-regulated SOFOMES into regulated microfinance entities able to capture deposits; much will depend on precise implementing regulations. As with previous legal changes and amendments, there has not been an explicit or primary focus on microfinance per se in these moves, so their precise implications for microfinance remain unclear. Fewer SOFIPOs—which in principle can offer a wide array of financial services, including deposit-taking—were created than had been hoped when the figure was initiated in 2001 because some NGOs and finance companies that had wished to transform have found unattractive the equity structure and the federation governance structure. SOFOLEs, most of which are not microfinance-specific or even related, are being phased out in favour of SOFOMES, and both they and SOFOMEs (whether regulated or not) face the limitations that they cannot capture deposits. The absence of effective regulation for SOFOMEs (even when formally regulated) has in practice inhibited their ability to raise capital, broaden financial services and grow, in addition to government concerns that the explosion in use of this corporate form has been abused in some cases for money-laundering purposes. (Meagher et al, 2006; Rosales, ICC, August 2008; personal interviews, August 2008, May 2009; Economist Intelligence Unit, Viewswire, 21st May 2009; Microfinance Gateway.)</t>
  </si>
  <si>
    <t>There is no special-purpose microfinance vehicle. NGOs can upgrade to become finance companies and eventually banks, but they must follow the same regulatory requirements as those institutions. A few have made the step to become NBFIs specialising in microfinance, such as Finamerica, or even to become banks (most recently, Banca Mia). For many institutions, costs to comply with corporate tax and regulatory burdens and non-prudential regulation remain high, and the required minimum capital is restrictive. Financial groups and foreign banks are increasingly creating specialised units to operate in microfinance within existing norms and regulations, such as most recently ProCredit. (Personal interviews: August 2007, August 2008, May 2009; Microfinance Gateway.)</t>
  </si>
  <si>
    <t>There are no specific legal vehicles for microfinance. Specialised and regulated MFIs, whether downscaling banks or upgrading non-governmental organisations (NGOs), are practically non-existent (there is one). Upgrading is both administratively and legally difficult, given minimum capital and provisioning requirements and risk management guidelines. However, the two largest non-governmental project-based microfinance organisations (MFOs) are seriously studying the possibility of transforming themselves into regulated non-banking financial entities, which would enable them to access capital markets and capture savings. They are undertaking talks with authorities and receiving assistance from international agencies toward this end. But this juridical figure is an already existing one (under which one existing institution, EDESA, already undertakes microfinance activities and in practice specialises in them), but is not specifically designed for microfinance per se nor does it restrict the institution in question to this market segment. (Personal interviews: August 2008, May 2009.)</t>
  </si>
  <si>
    <t>Based on the 2005 NGO Law, NGOs are not allowed to transform into a different kind of entity, as some did previously (some became or created microfinance banks before this law). They can, however, create distinct financial entities and some have begun to do so in recent years, overcoming tax requirements and other potential obstacles. Under a 2004 law without direct implications for microfinance, finance companies and development banks had to undertake a process of transformation into one of the accepted institutional forms for regulated institutional forms: universal banks, savings and loan banks, credit corporations, or savings and loans associations. (Personal interviews: August 2008, July 2009; Marina Ortiz and Mario Davalos, Sondeo sobre las Microfinanzas en la República Dominicana, CORDAID, 18th November 2008; Microfinance Gateway.)</t>
  </si>
  <si>
    <t>There are two competing norms for the definition of microcredit and attendant risk categories and provisioning requirements, and the distinction with consumer finance can be fuzzy at times. Within these limitations, however, a significant number of specialised microfinance institutions (MFIs) exist among all the major formal categories (that is, banks, finance companies, credit unions, etc). Upgrading of non-governmental organisations (NGOs) is also possible, and some NGOs have in the more distant past become finance companies. It is also possible for finance companies to upgrade into banks, and at least one microfinance-specialised finance company undertook such a transition in 2008. The Superintendency is also currently working with some non-regulated credit unions on a transition programme so that they can become regulated once they achieve the legal minimum size. However, in general non-regulated microfinance providers face significant challenges tin upgrading, as they would have to comply with prudential regulation, minimum capital requirements, operational restrictions, and disclosure obligations. Since the legal framework regulates the activity of microfinance, rather than specific types of institutions, the promotion of a specific juridical vehicle to promote microfinance specialisation is deemed unnecessary by the authorities. (Microfinanza: July 2006; personal interviews: August 2008, May 2009; Microfinance Gateway.)</t>
  </si>
  <si>
    <t xml:space="preserve">Non-governmental organisations (NGOs) and co-operatives can transform themselves into formally supervised savings and credit associations, although they must meet fairly strict requirements (capital, provisioning by risk category, etc). NBFIs are also active in microfinance as regulated entities; while a few specialise in microfinance, NBFIs are not designed for this purpose and most have a different or wider range of clients that extends beyond the scope of microfinance. A new law on co-operative banks and credit and loan associations took effect in September 2008, reflecting the evolution of these associations as they now offer regular banking services. The law requires new co-operative banks to maintain a 14.5% ratio of capital to weighted assets, which later can be dropped to 12% pending positive review from the SSF. The law allows co-operative banks and savings and loan associations to issue debit and credit cards, give loans and invest in securities. The law makes it easier for these financial institutions to operate in microfinance and compete with banks.
Although there does exist another form of specialised, regulated microfinance vehicle called Sociedad de Garantías Recíprocas (SGR, reciprocal guarantee company), only one exists to date as SGR has not proven to be an attractive vehicle. These financial institutions are supervised by the SSF and have minimum capital requirements. Their main task is to accept the debt of and grant credits to microenterprises and small and medium-sized companies (SMEs). (Personal interviews: August 2008, May-June 2009; Economist Intelligence Unit, Country Finance, December 2008; Microfinance Gateway.)
</t>
  </si>
  <si>
    <t xml:space="preserve">Georgia introduced a specific microfinance law (Law of Georgia on Microfinance Organisations) in 2006. Initially, it was meant to include a provision for deposit-taking, but in the end it was left out. Since 2006 the practice of formation of MFOs has been very easy from an administrative point of view, according to respondents, although MFOs cannot be born out of foundations. MFOs can be either limited liability companies (LLCs) or joint stock companies (JSCs). Registration and licensing are done by the Financial Supervisory Agency of Georgia and usually takes only a few days. The minimum capital requirement is Lari250,000. Once registered, MFOs are allowed to: extend microloans (consumer, collateral, mortgage, unsecured, group and other types of loans (credits) to physical persons and legal entities; make investments in government and public securities; Implement money remittances; perform functions of an insurance agent; render consultation services related to microlending; and accept loans (credits) from resident and non-resident physical persons and legal entities. (Lebanidze, 2001; Tepnadze, 2002; Otaridze, McCormack, 2003; MIX Market 2005; MicroCapital, March 2006; central bank, September 2006; personal Interviews: June-July 2009.) </t>
  </si>
  <si>
    <t>Regulated greenfield non-governmental organisations (NGOs) have failed to emerge and it is difficult for NGOs to upgrade. High minimum-capital requirements and the lack of specific risk categories and provisioning requirements for microfinance are among the obstacles. Savings and credit co-operatives are regulated as co-operatives, but they are not specifically regulated for any of their individual microfinance activities and are therefore not considered to be specialised institutions. They engage in a great deal of consumer lending, for members only. (Personal interviews: August 2008, May 2009.)</t>
  </si>
  <si>
    <t xml:space="preserve">There is no microfinance law in Indonesia to accommodate microfinance institutions (MFIs). A draft Microfinance Bill sponsored by Bank Indonesia (BI, the central bank) aims to provide legal support to the development of MFIs and to co-ordinate all types of microfinance providers in the country, but it has not yet been passed on to the parliament. Non-governmental organisations (NGOs) wishing to provide microfinance services legally must transform into a co-operative or a BPR. In practice, only some NGOs have undergone this transformation, mainly because bank regulations are considered too restricting for them and because becoming a bank requires the creation of a limited liability company, which the directors of many NGOs find onerous. The formation of new BPRs is possible, but this is discouraged, as the central bank believes the country is overbanked and has been slowly raising the capital requirement to encourage mergers. A more feasible strategy is for an NGO to upscale by purchasing a BPR, as Mercy Corps did with Bank Sri Partha (now Bank Andara) in 2008. Recent developments indicate that other institutional forms are also possible. Two commercial banks (Danamon and BPTN) have downscaled into microfinance through subsidiaries that are legally commercial banks. Danamon's subsidiary has more than 700 units and 400,000 clients. Another institution, MBK, was recently launched as a venture capital company and now has 53 branches and more than 100,000 clients. (Meagher 2006; Martowijoyo 2007; PlaNet Finance 2008; personal interviews: June 2009; Banking With the Poor Network 2009; Bank Indonesia Microfinance Gateway; Permodalan Nasional Madani.) </t>
  </si>
  <si>
    <t>There is no special juridical vehicle for microfinance, nor any specific uniform legal rules for defining microcredit portfolios, risk provisioning, and the like. Four of the five largest MFIs operate as limited companies under the Companies Law, which is not specific to finance or microfinance and provides no specific guidance or supervision. Credit unions are significant players, but they have only recently come under supervision and remain loosely regulated; their activities are not confined to microfinance. (Personal interviews: August 2008, May 2009; Microfinance Gateway.)</t>
  </si>
  <si>
    <t>Banks seeking to establish a microfinance division can do so without restrictive regulations from the CBK. The 2006 microfinance regulations also provide non-governmental operations (NGOs) and NBFIs with a clear path to transform into deposit-taking MFIs. One example is FAULU Kenya, which was once an NGO, but is now a fully registered bank offering microfinance services. The Kenya Women’s Financial Trust (KWFT) also has a pending application to become deposit-taking. NBFIs have similar requirements as banks, with capital-adequacy ratios of 12% (same as banks, although core capital must be 10%, as opposed to 8% for banks). Reporting requirements to CBK are much lower, with NBFIs required to provide annual reports, as opposed to bi-weekly, monthly and quarterly for fully registered commercial banks. Savings and credit co-operatives are regulated under the Co-operative Societies Act (Amended 2004) and are supervised by the Commissioner for Co-operative Development. Over 175 Co-operatives are licensed to offer "front office service activities", such as banking services for fixed deposit accounts and checking accounts. These co-operatives must maintain a capital-adequacy ratio equal to at least 10% of assets. (CGAP country profiles; personal interviews: May-July 2009.)</t>
  </si>
  <si>
    <t xml:space="preserve">All three MFI types must register with the National Bank and are allowed to perform different kinds of microcredit services and can freely set interest rates. As deposit-taking institutions, they are subject to prudential regulation as set out in the Law on Banking Activities and the regulatory norms set out by the central bank MCAs and MCCs are only allowed to issue loans in domestic currency, whereas 90% of funding is in foreign currency. This creates a mismatch between assets and liabilities, which acts as a constraint. MFIs that mobilise deposits are subject to prudential regulation. Minimum capital requirements are in line with industry norms for commercial MFIs: around US$220,000 are required for MFCs that do not accept deposits, and around US$570,000 are required for MFCs that accept term deposits. Under current legislation, transformation from a non-profit MFI to a commercial institution form is complicated and possible only through the establishment of a wholly new entity. There are no restrictions on foreign ownership of MFCs. (CGAP report, 2002, 2005 and 2009; Asian Development Bank 2003 and 2004; Tom Jacobs, MLDP 2004; Ledgerwood, White, and Brand, 2006; Microfinance Regulation and Supervision Resource Centre, August 2006; IFC World Bank Report, 2007, 2008; World Bank, Report on the Observance of Standards and Codes, 2008; COMTEX, 2009; personal Interviews: June-July 2009.) </t>
  </si>
  <si>
    <t>Ameen successfully upscaled twice: from an NGO to a services company in 2003 and then again to a financial institution in 2007. However, the minimum capital requirement (US$1.3m) for registration as a financial institution is considerable; of the existing NGO MFIs only one other, al-Majmoua, is of sufficient scale to make the transformation. Some lawyers are also of the view that non-profit foundations cannot own for-profit companies, a confusion which could be an obstacle for upscaling. Once registered, the regulatory requirements on microfinance operations are the same as for other financial institutions. The main benefit that upscaling provides is increasing confidence among clients and funding partners. (Personal interviews: May-June 2009.)</t>
  </si>
  <si>
    <t xml:space="preserve">Specialised microfinance providers exist in China and take two forms: micro-credit companies (MCCs) and village banks (VBs). MCCs have formal legal status as “non-deposit-taking lenders” and take the form of either a limited liability company or joint-stock company. MCCs can receive financing from no more than two banks, whose maximum possible ownership must be less than 50%. As limited liability companies, MCCs are subject to minimum capital requirements of Rmb5m (around US$730,000); joint-stock companies have a minimum capital requirement of Rmb10m. The government also regulates loan sizes: MCCs can lend a maximum of Rmb300,000 (US$43,800) in developed areas and Rmb50,000 in undeveloped areas. These loan and capital requirements present real obstacles to the upgrading process. To date, only seven pilot MCCs operate in three provinces. All were created with the backing of the PBOC, in partnership with local governments, in 2005.
Most specialized microfinance institutions (MFIs) take the form of village banks (VBs) created as greenfield institutions (currently over 100 are in operation). Their existence dates only from late 2006, when the CBRC announced a new rural finance strategy. The CBRC itself launched 19 pilot VBs in six provinces, although many of the more recent greenfield establishments have been led by banks, both state-owned or privately owned. This is because 20% of a VB’s equity must be controlled by a financial institution and each additional shareholder can only control a maximum of 10% of the VB. VBs are expected to serve agricultural production, rural households and rural areas in the county and are only allowed to take deposits or make loans in the county in which they are registered. VBs are regulated by the PBOC and CBRC under the Commercial Bank Law of 2003; the Law on Banking Regulation and Supervision of 2003; and the Provisional Rules Governing Village or Township Banks of 2007. VBs can mobilize savings deposits and take on debt investments. The minimum equity requirement is Rmb3m (for urban institutions) and Rmb1m for rural institutions. The required minimum ratios are 8% for capital adequacy and 4% for core capital adequacy. The ratio of outstanding loans to deposits may not exceed 75%. The ratio of current assets to current liabilities (liquid assets ratio) must be at least 25%. Loan rates must not be less than 0.9 times the benchmark rate set by the government. The outstanding loan balance to the same borrower may not exceed 5% of the bank’s net capital. (Sun, R 2003; Du 2005; PlaNet Finance 2008; Sun, T. 2008; personal interviews: July 2009; CAM; CBRC; Microfinance Gateway; PBOC.)
</t>
  </si>
  <si>
    <t xml:space="preserve">The provision of microfinance services in Vietnam is dominated by state-owned banks as the banking sector is still in transition from state-guided socialism and the Vietnamese government views microfinance as a social welfare programme, rather than a commercial activity. The four main state-run commercial banks accounted for 70% of lending to the economy in 2005 (though this figure has decreased through 2007), with a share of the remaining proportion of total credit supplied by domestically owned private banks. Key players include the Vietnam Bank for Social Policy (VBSP) and the Vietnam Bank for Agriculture and Rural Development (VBARD), and the People's Credit Funds (PCFs) national network of member-based credit co-operatives. VBSP sets the tone for the market, disbursing subsidised loans at less than 4% annual interest. The VBSP is subject to special governance rules and different performance standards than private commercial banks. Private sector providers are further hampered by interest rate restrictions, which cap rates at 1.5 times the base rate of the State Bank of Vietnam (SBV, the central bank). (Doan 2005;  International Monetary Fund Country Report Statistical Appendix, December 2007; PlaNet Finance 2008; personal interviews: June 2009; Banking With the Poor Network 2009; Microfinance Gateway Microfinance Industry Report, 2008; Vietnam Microfinance Working Group.) </t>
  </si>
  <si>
    <t>The Microfinance Law, passed in March 2009, is intended to provide a clear set of rules for microfinance institution (MFI) operation once institutionalised. Prior to this, MFIs had operated in a veritable legal vacuum (although they reported to the Social Fund for Development (SFD), an ostensibly independent body, which relies on foreign donor aid and is headed by the deputy prime minister and minister of planning and international co-operation, Abdel-Karim al-Arhabi). Although there is no minimum capital adequacy ratio per se, the new law sets the required capital level of YR500m (US$2.5m) for MFI banks. The new law enables banks to operate as independent commercial businesses, allowing them the right to set their own interest rates, as was the situation before. However, any new MFI banks will have to face competition from the dozen or so smaller MFIs presently in place, that were established with the assistance of the SFD. Yemen's first commercial MFI bank, Al Amal Bank (whose senior management previously worked at the SFD, which also provided 45% of its start-up capital), and most of the remaining MFIs enjoy this quasi-state subsidy, arguably setting any non-governmental organisation (NGO) newcomer at a disadvantage should they choose to forego SFD involvement while simultaneously seeking to meet the minimum capital requirement set by the new law. Commercial banks are not active in providing micro-loans to the poor population, as the banking sector is underdeveloped. (Personal interviews: March-June 2009; World Bank, Yemen Economic Update.)</t>
  </si>
  <si>
    <t>The Law on Credit Organisations (2002) defines several different types of NBFIs, under which microfinance providers can legally operate. However it does not define MFIs and activities specifically, and does not allow any credit organisation type to take deposits. Microfinance companies establish themselves as a Universal Credit Organisation (UCO) because UCOs are allowed to conduct the widest range of operations. Although the UCO minimum capital requirements are high by regional standards, they have not been prohibitive. FINCA, one of the country's largest MFIs, chose the UCO route. However, operating in microfinance as a UCO is cumbersome owing to onerous reporting requirements, loss of provisioning standards and interest-rate caps. Compliance with daily reporting and supervision reporting requirements is difficult for MFIs because these are more suited to large banks. For instance, MFIs are required to provide daily statements of forex operations, weekly average interest rates and monthly statements on key prudentials, income and expenses. Although credit organisations are not allowed to take deposits, according to the Central Bank, loan loss provisioning standards for financial institutions are a 1% reserve for performing loans; 10% for 1&lt;Portfolio at Risk&lt;90 days; 20% for 91&lt;Portfolio at Risk&lt;180 days; 50% for 181&lt;Portfolio at Risk&lt;270 days; and 100% for Portfolio at Risk over 270 days. (Central Bank of Armenia Board Resolution, 2002; Microfinance Centre for CEE &amp; NIS 2004; Arakelyan and Margaryan 2006; Ledgerwood, White and Brand, 2006; MicroCapital 2006; ADB, 2008; Vision Microfinance 2008; CGAP 2009; personal interviews, June-July 2009; Central Bank website; MIX Market report.)</t>
  </si>
  <si>
    <t xml:space="preserve">Currently there is no special law for MFIs and non-governmental organisations (NGOs) seeking to provide microfinance must become NBCOs. All NBCO-MFIs in the country had to register with the Ministry of Justice and apply for a special credit-only licence to the National Bank of Azerbaijan (NBA, the central bank) to earn NBCO status. The absence of legal definitions specifically for microfinance makes it difficult for existing NBCOs and NGOs wishing to become NBCOs to plan, source funds and operate effectively. According to an informant the door is closed to new NGOs until a law on microfinance institutions is passed, as currently the Humanitarian Affairs Department is not keen to issue any new licences. As a result, commercial banks may play a more important role.
Once it has become an NBCO, an organisation is not subject to prudential regulation or capital adequacy ratio requirements. Currently, the minimum capital requirement for NBCOs stands at Manat6,050 (US$5,000). Although this requirement has not been cited as a significant constraint, as of 2009 NBCO-MFIs are obligated to pay all taxes applicable to other for-profit structures and commercial enterprises, including profit taxes that are based on outdated profit calculations. NBCOs are not allowed to borrow locally, which limits their funding to external sources. Moreover, the classification of international grant funds for LCCs has come under much debate of late, as it is unclear whether these should be categorised as a donation, or as equity capital (which would make them transferable). There is a 2007 draft law on NBCOs that should improve the legal environment for these institutions, but there is no political will from parliament to adopt it. (Microcredit, 2005; MicroCapital 2006; MIX Market report, 2006; Microfinance Centre for CEE &amp; NIS 2007; MIX Market report, November 2008; CGAP March, 2009; personal Interviews: May-June 2009.)
</t>
  </si>
  <si>
    <t xml:space="preserve">Banks in Bangladesh enter the microfinance sector by lending to MFIs or directly to groups of poor individuals. They can lend directly to the poor without legal restrictions, but none has done so, because Grameen and non-bank MFIs have effectively sewn up the market and banks' cost structure does not really make it worth their while. Moreover, the sole commercial MFI bank, Grameen bank, operates in ways that are the complete opposite of other banks, such as engaging in collateral-free lending, branchless banking (staff visit borrowers in their homes), and operating without enforceable contracts (Grameen relies on peer monitoring and staff follow-ups to maintain a 98% loan-recovery rate). NGOs have not followed Grameen’s lead, in large part because NGOs have done well on their own in the past two decades; the Microcredit Regulatory Authority (MRA) now regulates them and to become a microfinance bank NGOs would need to win a regular commercial bank licence and satisfy a myriad of legal and financial requirements. Bangladesh has been in political limbo until recently, with the military coup in 2007; civilian rule resumed only this year and as a result no new bank was established during the period and applications by NGOs to set up microfinance banks have not been acted upon. No other institution operates under the banking space, except for BRAC, which has been allowed to set up a commercial bank focused on SMEs, rather than microenterprise and microloans. The two biggest NGOs—Bangladesh Rural Advancement Committee (BRAC) and ASA—still managed rapid growth to rival Grameen in borrowers and gross loan portfolio, despite not being allowed to mobilise savings from the general public (although they can accept deposits from members). (Personal interviews: May 2009; Microcredit Regulatory Authority; MIX Market.) </t>
  </si>
  <si>
    <t>The ASFI created FFPs in 1995 as an attractive vehicle to encourage non-governmental organisations (NGOs) with strong lending operations to transform themselves into regulated, specialised MFIs. FFPs are allowed to take deposits, can more easily access wholesale funds and commercial capital, and spur more efficient management. Looking forward, many NGOs are currently in the process of meeting standards to become regulated NGO microfinance providers able to capture savings, without turning into FFPs. This is based on a March 2008 resolution of the ASFI that dictates that NGOs and institutions specialised in development finance now need only one-quarter (US$300,000) of the capital that FFPs need to become deposit-taking, regulated institutions, provided that they meet the administrative and regulatory requirements of the Banking Law, which will now govern those making the transition. There were initial fears that this would undercut the FFP upgrading route and raise the possibility of creating unfair competition for regulated MFIs and a looser supervisory framework for microfinance in general. In the short term, the fears have not been realised, as only one NGO has met the capital requirements to make the transformation. However, others are hoping to make the transition in future years. (Meagher et al, 2006; personal interviews: August 2008, May 2009; Rosales, ICC, August 2008; Microfinance Gateway.)</t>
  </si>
  <si>
    <t xml:space="preserve">Legislation on microfinance institutions was adopted in July 2006 and in October 2006 in the Republic of Srpska and Federation of Bosnia and Herzegovina, respectively (this is the law “On Microcredit Organizations,” known as MCO).  The law outlined the process of re-registering MFIs that had previously existed under special microfinance legislation adopted in 2000, and the new law passed by each entity was to a large extent harmonised. However, the process for becoming an MCC in the Republic of Srpska and the Federation of Bosnia and Herzegovina was defined differently. MFIs in the Federation of Bosnia and Herzegovina are obliged first to transform into non-profit MCFs, whereas MFIs in the Republic of Srpska can transform directly into for-profit MCCs. Transferring ownership and assets from an NGO to an MCC in Bosnia is consequently complicated and time-consuming, whereas it is straightforward in the Republic of Srpska. Moreover, a disconnect between the MCO law and the processes for registering in the Register of Foundations delayed microcredit foundations’ entry into the register, postponing transformation until adapted licensing and registration procedures could be implemented.
Minimum capital requirements for MCCs are €250,000 euros, and loans are capped at €25,000. Although MCCs are free to set interest rates, provisioning requirements for MFIs are also stricter than for banks. The law also stipulates that a newly formed MCC must maintain 51% ownership by the founding NGO, which may limit commercial funding opportunities. (Law on Microcredit Organizations, 2000; Microfinance Centre for CEE &amp; NIS, May 2003; Microfinance for CEE &amp; CGAP, 2003; MIX &amp; CGAP, March 2009; MIX &amp; CGAP, March 2009; personal interviews: June-July 2009.)
</t>
  </si>
  <si>
    <t>In the late 1990s and early 2000s, new regulations enabled the formation of two distinct types of microcredit organisations: public interest civil societies (OSCIPs), which are a particular type of financially non-regulated non-governmental organisations (NGOs registered, but not supervised, by the Ministry of Justice), and Sociedades de Crédito ao Microempreendedor (SCMs, microenterprise credit societies), which are regulated for-profit entities. There is a generous public subsidy for the creation of new organisations, although limited availability of funds restricts the licensing of new institutions in practice. SCMs have high interest rates, profits, loan delinquency and write-offs, making them more similar to well-run consumer finance companies than to microfinance institutions (even though they cannot make consumer loans). They undertake little microfinance, and tend to concentrate on factoring. Their rate of creation levelled off after the first few years, and the previously anticipated transition from Organizaçãos da Sociedade Civil de Interesse Público (OSCIPs, Civil Society Organizations of Public Interest) to SCMs has not occurred as envisioned originally. OSCIPs and SCMs enjoy exemption from usury laws (which apply to all other non-regulated microcredit providers, including NGOs that do not obtain OSCIP status), fiscal benefits and access to certain public second-tier programmes. Foreign investors can participate in SCMs, but only with presidential signature. Both OSCIPs and SCMs are limited to microcredit. (Meagher et al, 2006; Curat et al, 2007; personal interviews: July-August 2008, May 2009.)</t>
  </si>
  <si>
    <t xml:space="preserve">A framework for non-governmental-organisation (NGO) upgrading exists, and the NBC actively encourages the transformation of MFIs into regulated institutions. Based on the Law on Banking and Financial Institutions of 1999 (LBFI), the NBC issued a decree in 2000 that created a two-tiered system for microfinance supervision: MFIs with a portfolio over CR1bn (US$240,000), or at least 10,000 borrowers, must be licensed as an LLC or as a co-operative. Many of the leading NGO-MFIs have subsequently transformed into licensed non-bank financial institutions (NBFIs) with the assistance of their original donors and new investors (which provided capital and governance). There are currently 18 licensed MFIs and these must meet the minimum paid-up capital requirement of CR250m (US$62,500), which is not considered onerous. Reporting requirements are not considered burdensome (licensed institutions must report monthly, whereas registered ones only report quarterly). (CGAP 2005; International Development Law Organisation 2008; PlaNet Finance 2008; personal interviews: June 2009; Banking With the Poor; Microfinance Gateway.) </t>
  </si>
  <si>
    <t xml:space="preserve">The overwhelming majority (over 90%) of MFIs is registered as a savings and loans co-operative or association. Regulated MFIs must obtain a permit from the Ministry of Finance upon recommendation from the Commission Bancaire de l'Afrique Centrale (COBAC, the Central Africa Banking Commission). According to the 2002 microfinance law, there are three specialised MFI categories: Category 1 MFIs provide deposit and credit services for members only (most MFIs are co-operatives and associations such as this); Category 2 MFIs provide deposit and credit services for third parties (in the form of a limited company); Category 3 MFIs provide credit services exclusively. Prudential requirements are uneven across categories owing to the variation in products provided. Capital requirements apply to the second and third category (50mn F CFA and 25mn F CFA, respectively) and are not considered a constraint upon transformation. Tax policies are not evenly applied across MFI categories. There have been cases of distortions, abuses and confusion about exemptions, partly because tax professionals lack knowledge of microfinance. 
MFI activities, such as leasing and foreign currency purchase, are subject to COBAC approval. The majority of MFIs choose to operate within joint- and multiple-liability networks in order to share operating costs. Documentation requirements are reasonable, but considered more constraining for small MFIs that lack capacity. 
The government frequently provides subsidised refinancing lines and grants with the help of development agencies, generally supporting MFIs that already show strong organisational capacity. (Personal interviews: June 2009; Recueil des textes réglementaires relatifs à l’activité de microfinance dans la Communauté Economique et Monétaire de l’Afrique Centrale.)
</t>
  </si>
  <si>
    <t>There is no specialised microfinance vehicle for greenfield or upgraded operations. Although it is possible for NGOs to upgrade, in practice their ability to meet the minimum capital, provisioning and other requirements is low. However, it is possible for credit unions to upgrade into financial service co-operatives (regulated still by the Department of Co-operatives), a move which allows them to raise capital more easily and offer wider services, although they cannot offer savings, unlike cooperativos de ahorro y crédito; at least one credit union is currently undergoing such a transition to a service co-operative. (Padilla and Gillet, 2001; personal interviews: August 2008, August 2007.)</t>
  </si>
  <si>
    <t>The Superintendencia de Bancarios y Otras Instituciones Financieras (Sudeban, the Banking Superintendency) supervises banks, which are the main regulated institution involved in microcredit. The General Law on Banks and Other Financial Institutions of October 1993 and the November 2001 Reform to the General Law on Banks and Other Financial Institutions are the guiding regulations. Capital-adequacy ratios for regulated financial institutions are arguably conservative, at 12%, but intended to ensure the solvency of institutions. Around one-third of banks’ lending portfolios must by law be directed to various sectors of the economy favoured by the government (such as small business and agriculture). Micro-businesses (broadly defined as those with up to ten employees) must by law receive 3% of all loans made by banks or designated affiliates or institutions who undertake this obligation on their behalf; it appears that this mostly benefits small and medium-sized enterprises (SMEs) in practice, however. This requirement, along with a desire to remain in good standing with the regulatory and political authorities and some perception that microfinance may become profitable, explains why some banks have shown increased interest in microcredit. However, interest rates are heavily regulated: the Banco Central de Venezuela (BVC, the Central Bank) ruled in March 2005 that banks could charge no more than 28% interest on any type of loan. Minimum savings-accounts rates and minimum term-deposit rates are set at levels that frequently limit banks' operating margins in a context of accelerating inflation (although they may still charge commission of up to 7%). The BCV also fixes maximum interest rates on credit cards and has limited banks to a maximum 3% surcharge on any overdue balances. There is substantial direct competition between regulated and non-regulated sources of microfinance on one hand, and on the other a variety of heavily subsidised public programmes (particularly Banco del Pueblo), which are able to charge interest rates that may be as much as 6-8% lower. (Economist Intelligence Unit, Country Finance, July 2008; personal interviews: August 2008, June 2009; Economist Intelligence Unit, ViewsWire, June 2nd, 2009.)</t>
  </si>
  <si>
    <t>There is no specific legal framework for microfinance, but one-off legal arrangements were made for two microfinance institutions (MFIs), Maya Bank and Grameen Bank. These are the only two operating in the country at the moment. A draft Act on MFIs was proposed in 2002 but has not been implemented. It would create a legal vehicle for regulated deposit-taking, as well as non-deposit taking MFIs registered as Joint Stock Companies (JSCs). The law would also explicitly permit associations and foundations to provide credit with permission from the Banking Regulation and Supervision Agency (BRSA). Downscaling to microfinance through banks is theoretically possible, but in practice this is not widespread, owing to the lack of a clear definition or law governing microfinance activities. What banks call microcredit is often in reality a non-collateralised small and medium enterprise (SME) loan with high provisioning requirements, and microfinance experts hesitate to call this pure microfinance. There is no ceiling on interest rates at the moment, although the Council of Ministers does have the power to set interest rates on loans. Capital adequacy rates are 8% and the minimum capital requirement for commercial banks is US$19m. There are a number of state-owned subsidised lending initiatives, but these primarily loan to trade co-operatives and agricultural co-operatives, which on-lend to members. The largest are Halk Bank, which lends to end-users directly, and Ziraat Bank, which lends to co-operatives that then on-lend to members. The absence of a defined regulatory framework for microfinance also serves as a deterrent to potential foreign investment in the industry. (Burritt, CGAP 2003; Burritt, August 2003; UNDP, 2005; Arash, Microfinance Expert 2006; Grossman, Microfinance Expert 2006; CGAP, 2008; Yang, 2008; Karatas and Helvacioglu, 2008; Turkish Grameen Microcredit Project, 2008; Duman, 2009; personal interviews: June-July 2009; Perspectives on Global Development and Technology, 2009.)</t>
  </si>
  <si>
    <t>The Bank of Uganda (BoU, the central bank) regulates both banks and microfinance institutions (MFIs) as a result of the Microfinance Deposit-taking Institutions (MDI) Act of 2003. This Act created a tiered system for regulating and supervising MFIs. Commercial banks offering microfinance services are defined as Tier-1 institutions and must have at least USh4bn (US$2m) minimum capital; credit institutions which cannot mobilise deposits are defined as Tier-2, and both Tiers 1 and 2 are regulated under the Financial Institutions Act of 2004. MFIs that take deposits are defined as Tier-3, and informal savings and credit cooperatives (SACCOS) and non-governmental organisations (NGOs) that offer credit services are defined as Tier-4. Tier-3 institutions must accept a higher regulatory burden, including higher capital-adequacy ratios (20% of risk-weighted assets), as compared with banks and credit institutions (12% of risk-weighted assets). Four transforming NGOs have already qualified for the MDI designation. MFIs are free to set interest rates and minimum capital requirements are reasonable at USh500m ($250,000) for MDIs. A government-sponsored “Prosperity for All” programme supports the development of Tier-4 institutions, but informants report that the effects to date have not hugely impacted the operations or profitability of regulated institutions. (CGAP Regulation and Supervision Series 2005; Microcapital website 2008 and 2009; CGAP Country Profile.)</t>
  </si>
  <si>
    <t>The Banco Central del Uruguay (BCU, the Central Bank) is the main financial regulator, although it does not regulate microfinance per se and virtually all MFIs are in fact non-regulated, taking the form of either Sociedades Anónimas (SAs), non-governmental organisations (NGOs), or non-regulated credit unions/co-operatives (regulated co-operatives tend not to be active in microfinance). In practice, if a regulated institution would like to operate in microfinance (as the state-owned Banco Republica currently has plans to do), it must open a separate, non-regulated SA. Other regulated institutions, namely private banks, finance companies, and regulated savings and credit co-operatives (credit unions) which take deposits from the public (that is, they are not restricted to taking deposits from members), could in principle do this, but none has an incentive to do so or has experience in the industry. Documentation requirements and capital-adequacy standards for regulated financial institutions are not burdensome, and there is no financial supervision for non-regulated ones. Interest rates are subject to a ceiling that is based on a certain percentage above the average rate of the (formally regulated) financial system, leading to caps that some microfinance institutions (MFIs) find it problematic for cost recovery (currently around 40%). Some MFI officials believe that Banco República, a state-owned bank that conducts half of all financial-system transactions, offers in its general operations interest rates that do not cover its costs and that unfairly undermine competitors; this has raised concerns among some MFIs that, as it moves to a create a microfinance unit (which was not yet functioning as of June 2009), it may distort the market. (Inter-American Development Bank internal project document, August 4th 2005; personal interviews: August 2008, June 2009.)</t>
  </si>
  <si>
    <t xml:space="preserve">Trinidad lacks a regulatory framework for microfinance. The principal financial regulator is the Central Bank of Trinidad and Tobago, and its Financial Institutions Supervision Department acts as the main licensing and supervisory body. Some banks, which are regulated institutions, engage in a limited form of what can only be loosely described as microfinance, in the form of secured lending to individuals that shows up in official accounts as lending to "unincorporated businesses". Caribbean Microfinance Limited (Microfin) operates as a subsidiary of a licensed company called DFL Caribbean Holdings Ltd; as such, it is monitored, but not regulated, by the Central Bank in its microfinance operations. HOPE operates as a (non-regulated) non-governmental organisation (NGO). Credit unions do not carry out microlending for productive activities per se, as their lending to small borrowers (who must be members) is formally for consumption, housing, or other non-productive purposes. Credit unions have traditionally been unsupervised, and instead only loosely overseen by the Commissioner of Co-Operatives of the Ministry of Labour, which registers them. However, under an amendment to the Credit Union Act passed in February 2009 and whose implementing regulations are still pending, credit unions will become supervised by the Central Bank; give recent financial scandals at several credit unions and its lack of interest or knowledge of microfinance, however, it seems unlikely that the Central Bank will permit microfinance to become a formal part of credit unions' permissible and supervised range of activities. A subsidised government programme of micro-, small and medium-sized enterprise lending exists in the form of the National Enterprise Development Company, but its main initial impact when set up around 2003 was to help establish the concept of microfinance in Trinidad and it has since migrated mostly away from microlending. The Agriculture Development Bank (ADB) lends to farming and food-processing enterprises at concessional rates. There is a Usury Act, which limits interest rates to 24% annually, but it is widely ignored by larger regulated institutions, although it still poses problems for the few institutions operating in genuine microfinance, raising the minimum loan size at which operations are commercially viable. Since microfinance is not a regulated activity, there are no specific relevant capital-adequacy ratios or other documentation requirements. (Economist Intelligence Unit, Country Profile, May 2008; personal interviews: June 2009.) </t>
  </si>
  <si>
    <t>The Law of the Republic of Tajikistan on Microfinance Organisations was adopted in 2004. The law created three separate legal microfinance entities: microcredit-deposit institutions, microlending institutions, and microlending foundations. This framework has enabled the development of strong microfinance institutions (MFIs) and has prevented industry fragmentation. Documentation requirements are not excessive and there are no significant market distortions presented by government-sponsored credit programmes. The National Bank of Tajikistan (NBT, the central bank) sets maximum limits to credit and loans offerings through normative acts. Regulation 135 (2005, amended annually) sets the maximum microcredit loan at US$50,000 for individual loans and to US$300,000 for loans to firms. This effectively opens a window for MFIs to compete with downscaling banks in small and medium-sized enterprise (SME) lending. All MFIs are free to set interest rates. Capital adequacy ratios are set at 12%. (Lauer, Lyman and Sargsian, July 2002; Microfinance Centre for CEE &amp; NIS, May 2003; Law of the Republic of Tajikistan on Microfinance Organizations, 2004; World Bank Group, 2004; ADB, 2005; Ministry of Justice of the Republic of Tajikistan, May 2005; IMON, 2006; MicroCapital, March 2006; Aga Khan Development Network, 2008; Blue Orchard, 2008; Berfond, 2009; personal interviews: June-July 2009; Davlatov; central bank.)</t>
  </si>
  <si>
    <t xml:space="preserve">Although commercial banks are free to provide microfinance services and some, such as Krung Thai Bank, have launched small programmes, such examples are rare. Microfinance in Thailand is generally a government-sponsored activity. Two large, heavily subsidised programmes offer below-market-rate loans and regularly forgive debts, making it almost impossible for commercial microfinance to take root. Moreover, the Bank of Thailand (BOT, the central bank) has set a ceiling of 15.5% on all personal loans, although this interest-rate cap is often ignored in practice by commercial banks. (Personal interviews: June 2009; Microfinance Gateway; Microfinance Thailand.) </t>
  </si>
  <si>
    <t xml:space="preserve">The Microfinance regulatory framework is in the process of making a major shift after the recently (2008) approved amendment of Parmec, the 1993 regional microfinance law for the Union Economique et Monétaire Ouest Africaine (UEMOA, the Monetary Union of West Africa). Whereas the previous law granted mutual microfinance organisations with life permits and allowed non-mutual microfinance institutions (MFIs, including commercial MFIs and associations, to operate under five-year renewable conventions, the amendment would reclassify MFIs by activity, rather than legal form: a first category of MFIs would provide deposit and credit services and a second one will provide credit services exclusively. This is expected to be conductive to the formation of commercial MFIs and bank downscaling. 
MFIs are not subject to minimum capital requirements (which explains their mostly small size) and they have different prudential ratios. However, MFIs and banking institutions are subject to a maximum lending interest rate of 27% and 18%, respectively, which puts higher constraints on banking institutions. This is not expected to change under the new law. The larger MFIs receive frequent refinancing lines from development agencies.
Although some banks have considered undertaking microfinance operations, the tax disadvantage and a lack of specialised microfinance expertise have been major obstacles. Some MFIs consider partnering or creating their own financial organs to offer traditional banking products to their members and to avoid financial intermediation for their own transactions (as was the case of Crédit Mutuel Sénégal’s Bimao). This is likely to be more difficult owing to the increase in minimum capital requirements for banks by tenfold to CFA10bn (US$22.5m) since 2008 (banks have until 2010 to comply with this capital increase). This is meant to prevent the creation of small under-capitalised banks and competition from other regional banks. (BCEAO Instructions; Decret de Réglementation; Lettre Politique Sectorielle; Parmec and amendments; personal interviews: June-July 2009; Rating reports.)
</t>
  </si>
  <si>
    <t xml:space="preserve">Since the adoption of a National Strategy for Microfinance in 1997, the government has promoted a regulatory and policy framework that is conducive to microfinance activity. The General Banking Law of 2000 includes specific provisions for the regulation of microfinance operations within banks and any regulated institutions and recognises microfinance institutions (MFIs) as legitimate banking entities. It also relaxes some of the established risk-management and operational requirements, while granting power to the Monetary Authority to regulate interest rates charged by MFIs (although in practice this authority is not exercised and MFIs are free to set interest rates). MFIs are not burdened with excessive documentation or capital-adequacy ratios and do not face unfair competition from subsidised public credit programmes and institutions. Recent laws favourable to the expansion of the sector include official measures limiting direct government credit programmes and promotion of market-based interest rates, a strategy that is spelled out in the laws that accompany the National Strategy for Microfinance. The microfinance activities of non-licensed non-governmental organisations (NGOs) remain largely unregulated. (Bangko Sentral ng Pilipinas, 2006, 2009; National Credit Council 2006; personal interviews: June 2009.) </t>
  </si>
  <si>
    <t>The umbrella regulatory framework is spelled out in the General Law of the Financial and Insurance Systems and Superintendencia de Bancos, Seguros y Administradores de Fondos de Pensiones (SBS, Superintendency of Banking, Insurance, and Pension Funds) (Law Nº 26702 of 2004). The SBS is the principal regulator. This framework applies to banks, a specialised institution category called Entidades de Desarrollo de la Pequeña y Micro Empresa (EDPYMEs, entities for the development of small and micro enterprises), rural savings and loans, and municipal savings and loans, the last of which are additionally regulated under Supreme Decree No. 157-90-EF (1990). There are several commercial banks in microfinance. Aside from these, in Peru there are two other types of regulated microfinance institutions (MFIs) that fall in the traditional institution category: Cajas Municipales de Ahorro y Crédito (CMACs, which are deposit-taking institutions owned by city or provincial governments that specialise in the financing of small and micro-enterprises and savings); and Cajas Rurales de Ahorro y Crédito (CRACs, which are usually privately owned deposit-taking institutions specialising in the financing of small and micro-enterprises in rural areas). There are no interest-rate restrictions under Law 26702. There has generally been no direct competition from subsidised public retail finance institutions (except CMACs, which have become increasingly open to private investors and ownership and operate according to market criteria); however, under the current government, some institutions, such as Agrobanco, have offered concessional loan terms and interest rates that some MFIs say reflect direct or indirect subsidies. Documentation requirements are not burdensome and capital-adequacy ratios are reasonable. Minimum capital requirements (US$289,000) for non-bank financial institutions (NBFIs) are arguably low, although they reflect in part the fact that these institutions cannot capture savings. (Ebentreich, 2005; personal interviews: August 2007, August 2008, June 2009; Microfinance Gateway.)</t>
  </si>
  <si>
    <t xml:space="preserve">In 2006 the State Bank of Pakistan (SBP, the central bank) issued guidelines for commercial banks to offer microfinance, but to date commercial financial institutions have not been interested in directly providing microfinance services, owing to profitability concerns. Although Orix Leasing Pakistan is involved in this business, its outreach is limited. Instead, microfinance banks (MFBs) are the most important providers even though they are relatively new players. MFBs were established under the 2001 Microfinance Institutions Ordinance and are regulated by the central bank. MFBs face the same prudential regulations as commercial banks and can offer the same range of services to their clients. Capital requirements for MFBs vary from PRs100m-500m (US$1.23m-US$6.28m), depending on the geographic level at which they are registered. There are no interest rate restrictions, but MFB loans are capped at PRs150,000 (US$2,240). MFBs and all other microfinance providers are prevented from accepting foreign currency investment. A state-owned bank, Bank of Khyber, provides microfinance services in the North-west Frontier Province along the Afghan border. The government-backed National Rural Support Programme (NRSP), which operates nationwide, has more than 500,000 clients, representing around 30% total market share. Both government programmes, however, operate in difficult-to-reach areas, where MFBs have lower levels of penetration. (SMED Circular No. 10, 2006; CGAP 2007; PlaNet Finance 2008; SEEP Network 2008; personal interviews: June 2009; Banking With the Poor; Microfinance Gateway; Pakistan Microfinance Network; State Bank of Pakistan.) </t>
  </si>
  <si>
    <t>The main regulatory authority is the Banking Superintendency and its authority stems from Chapter III of Organic Central Bank Law 489 (1995) and subsequent amendments. Obstacles are only minor, mainly in the form of some residual competition in rural and agricultural areas from state financial entities like the Banco Nacional de Fomento (BNF, National Development Bank) and Crédito Agrícola de Habilitación (CAH, Agricultural Credit Authority). These lenders have been restructured, along with three others, into a single second-tier funder that operates on the basis of market criteria. Banks and finance companies can charge market interest rates, and documentation requirements and capital adequacy ratios (10% for banks and finance companies) are adequate, but not excessive. A half-dozen finance companies have microfinance operations, as well as two (recently upgraded) banks, whereas the country's largest bank is now in the process of setting up a microfinance unit. (Jannson, 1997; Berger et al, 2003; Personal interviews: August 2008, June 2009; Central Bank website.)</t>
  </si>
  <si>
    <t>The General Banking and Financial Institutions Law (Law No. 314) came into effect in September 1999 and was revised in November 2005 by Law No. 561, the General Law of Banks, Non-Bank Financial Institutions and Financial Groups. The latter law is based on recommendations from the IMF/World Bank under its Financial Sector Assessment Programme (FSAP) and attempts to bring national financial legislation in line with international best practice as outlined in the Basle II accords. Capital-adequacy ratios were raised in a gradual process begun in 1998, from 8% to 10%. The Superintendencia de Bancos y de Otras Instituciones Financieras de Nicaragua (SIBOIF, the Nicaragua Superintendency of Bank and other Financial Institutions, established in 1991), functions as an independent financial regulator. The legislature passed a general framework for regulating microfinance companies in January 2004, which would include non-governmental organisations (NGOs) and provide for inter-institutional regulation and supervision thereof, but the specifics of this Special Law of Micro-Finance Associations were still being discussed by special technical commissions as of June 2009 and prospects for final implementation remain uncertain. It is unclear if NGOs would be able to capture deposits in any version finally approved by the National Assembly, as contemplated in the original legislation. Regulated institutions providing microfinance are currently banks and non-banking financial institutions (NBFIs); credit unions are regulated separately by an agency of the Ministry of Labour. However, of the 30 Nicaraguan microfinance institutions (MFIs) listed in MIX Market, two are banks and one is an NBFI, while the remainder are (non-regulated) credit unions and NGOs. There is some unfair competition through concessional first-tier lending via programmes such as Hambre Cero in the countryside and Usura Cero in urban areas. An interest-rate ceiling applies to NGOs, but as it is not well enforced, it tends to lead them (and their regulated and non-regulated competitors) to obscure rates and fees. Documentation requirements are not excessive. There is ongoing tension between the Ortega government and MFIs, as the government has given encouragement to a debtors' movement that emerged in 2008. (Personal interviews: August 2008, June 2009; Economist Intelligence Unit, Country Finance, February 2009; Microfinance Gateway.)</t>
  </si>
  <si>
    <t xml:space="preserve">The Nepal Rastra Bank (NRB, the central bank) requires commercial banks to set aside up to 3% of their portfolio for “deprived” sectors, defined as the very poor (which includes microentrepreneurs). It limits the interest rate on these loans to 7%. In practice, most commercial banks provide wholesale funding to specialised microfinance lenders, rather than directly service the poor because they are neither interested in nor equipped to provide small uncollateralised loans to this industry, which is considered risky and unprofitable. As a result, the main formal providers are upscaled non-governmental organisations (NGOs) and state-run regional banks. The largest government player is the Agricultural Development Bank (ADB), which provides wholesale funds to related stand-alone co-operatives (Small Farmer Co-operatives or SFCLs). There are now just under 200 SFCLs serving 120,000 clients, giving them significant outreach, although they act like stand-alone institutions (albeit with one large benefactor). During the Maoist rebellion, they were often forced into debt-forgiveness because they were seen by the Maoists as arms of the government and the Maoists were aiming to win support in rural areas. It is unclear whether debt-forgiveness will continue now that the civil war is over. Private micro-credit development banks (MCDBs) enjoy more lenient prudential regulations than state-run regional rural development banks (RRDBs), with the capital adequacy requirements for MCDBs at 8% of risk-weighted assets, compared with 12% for RRDBs. There are no interest-rate restrictions in Nepal, but the role of government institutions has kept lending rates unsustainably low (18-20%). The NRB has also imposed a limit on microloans of NRs150,000 (US$1,950) for all institutions operating in microfinance, regardless of ownership or regulatory status. (Rural Finance Nepal/GTZ, February 2004; Armin Hofmann and Helmut Grossmann, December 2005; Sinha &amp; Sagar, 2007; PlaNet Finance 2008; Banking With the Poor Network 2009; personal interviews: June 2009; Center for Microfinance; Microfinance Gateway; Ulrich Wehnert.) </t>
  </si>
  <si>
    <t xml:space="preserve">Commercial banks are the primary providers of formal microfinance services in Mongolia. These institutions are governed by banking laws and Bank of Mongolia regulations, including the Law on the Deposit Taking, Payment, Settlement and Lending Activities of the Banks and Authorised Institutions and the regulation on the licensing of the bank and its units approved by Decree No. 375 of the Bank of Mongolia on August 7th 2000. Regulatory authority is held in the hands of The Bank of Mongolia (the central bank) and commercial bank overseer, and by the Financial Regulatory Commission (FRC), which regulates non-bank financial institutions (NBFIs), and savings and credit co-operatives (SACCOs). For commercial banks, the required capital adequacy ratio is 12%, but for NBFIs it is 20% owing to concerns about their managerial capacity and the impact of the 2006 savings and credit co-operative crisis. Co-operatives are not subject to capital adequacy regulations, and there is no restriction on interest rates. (UNDP 2004; Togtokhbariul 2007; PlaNet Finance 2008; personal interviews, June 2009; Microfinance Gateway.) </t>
  </si>
  <si>
    <t>The Microfinance Associations Law was adopted in 1999 and grants exclusive microlending authority to non-profit associations. Under this law, microcredit lenders must be registered as associations, including those affiliated with banking institutions (for example, Banque Populaire and Crédit Agricole) and must operate exclusively in microfinance or related technical advisory services. However these institutions are legally defined as Associacions de Microcredit (AMCs, microcredit associations) and cannot benefit from financial links or risk sharing with their mother banking institution, a separation that informants highlight as a major drawback to operating in microfinance. Although there is no capital requirement under the law, in practice, the Ministry of Finance may oppose a permit on the basis of an inadequate capital ratio and Basel II standards are encouraged. Documentation includes a five-year financial model and details of financial and human resources available, as well as association by-laws. The Microfinance Law grants the Bank al-Maghrib (the central bank) the power to regulate microfinance interest rates, but at present interest rates can be freely determined by microfinance institutions (MFIs). None of the country’s fairly developed financial institutions directly engages in microcredit owing to imposed interest rate caps on all commercial lending, regardless of loan size or client definition (which remain very low by microfinance standards, which make microlending unprofitable. Two funding programmes were established by government bodies: Fond Hassan II government fund and the Initiative Nationale pour le Developpement Humain (INDH, national initiative for development aid). The first adopted a proportional funds distribution scheme where the larger MFIs received greater subsidies. The second one has not yet announced the amounts, but it is likely to follow a similar approach. (Articles from L’Economiste and la Vie Economique, May 2009; personal interviews: May-June 2009.)</t>
  </si>
  <si>
    <t>The legislation governing the regulation and supervision of microfinance in Mozambique begins with the Credit Institutions and Finance Companies Law 15/99 and 9/04, the Regulations of Microfinance Decree 57/2004, and finally the Order of the Central Bank 10/GBM/2007 - Extension of Financial Services to Rural Areas. These laws give primary responsibility for regulation and supervision of the microfinance industry to the Bank of Mozambique (BoM, the central bank). The law creates a hierarchical designation of microfinance institutions (MFIs) based on level of risk, with Category A through Category D. Category A- and B-designated MFIs are subject to prudential regulations and include savings and credit units that can mobilise deposits with a minimum capital requirement of MT5m (around US$185,000). There are other designations in this category with lower capital requirements such as rural finance units at MT1.2m and credit co-operatives at MT200,000 (around US$7,400). MFIs are free to set interest rates, but there is a significant amount of interference from the central government, leading to unfair competition from subsidised public programmes. The government has offered incentives to MFIs to begin operations in rural areas without much success (Central Bank 10/GBM/2007), offering matching funds and subsidised credit, further distorting the market. (personal interview: June-August 2009, Microfinance in Mozambique, 2005.)</t>
  </si>
  <si>
    <t>The Comisión Nacional Bancaria y de Valores (CNBV, National Commission of Banks and Securities) is the principal regulator. Traditional commercial banks, the main financial institutions in Mexico, have shown little interest in microfinance, and there is a confusing and constantly changing array of supervised and non-supervised legal forms that microfinancial operations may take, based in large part on the 2001 Popular Savings and Credit Law and a 2006 decree modifying it. In April 2009 the Congress passed, but as of June 2009 the government had not promulgated, a new Popular Savings and Credit Law; the law would created separate regulatory standards for two types of entities currently supervised by the CNBV, the for-profit Sociedades Financieras Populares (SOFIPOs, popular financial partnerships) and savings and loans co-operatives; precise impacts are unclear.  Supervised forms, besides banks, include several that were created in this decade at least in part with an eye toward strengthening financial services for the poor: Sociadades Financieras de Objeto Limitado (SOFOLEs, financial companies with limited corporate purpose); regulated Sociedades Financieras con Objetos Múltiples (SOFOMEs, regulated financial companies with multiple corporate purpose, as there is also a non-regulated variant); and SOFIPOs. By 2013 SOFOLEs must be converted into SOFOMEs under the 2006 decree, and many have already done so; for a variety of reasons, SOFIPOs have not proven a popular form, and SOFOMEs—which do not require prior authorisation to be constituted—are the most widespread form. As of March 20th 2009, 975 unregulated and 22 regulated SOFOMES had been created (not all of them active in or specific to microfinance). Savings and loans co-operatives currently have their own auxiliary system of federated regulation for which the CNBV only sets general guidelines, and this principle of delegated supervision seems set to continue under the pending Law on Popular Savings and Credit, although under a different institutional umbrella of oversight as yet unspecified. Programmes providing directed or subsidised credit to rural areas still exist, although such programmes have undergone significant rationalisation in recent years. There are no interest rate caps. Capital-adequacy ratios (8% for banks, 8-11% for non-bank financial institutions—NBFIs—with higher ratios the greater the capital) are not burdensome for established institutions. Documentation requirements are not excessive. (Meagher et al, 2006; personal interviews: August 2008, May 2009; Economist Intelligence Unit, Country Finance, March 2009; Microfinance Gateway.)</t>
  </si>
  <si>
    <t>The Kyrgyz Republic is considered to be a regional leader for microcredit regulation. Legislation enables a myriad of microcredit organisation types, from small family owned to full deposit-taking institutions. Experts complain that the rules are too lax, favouring too many players. The Law on Microfinance Organisations, approved in 2002, defines a three-tiered classification system for microfinance institutions (MFIs): 1) Microcredit agencies (MCAs) are defined as non-commercial institutions that cannot accept voluntary deposits; 2) Microcredit companies (MCC) are defined as commercial institutions registered as limited liability companies (LLCs) or joint stock companies (JSCs) that cannot accept deposits, and 3) Microfinance companies (MFCs) are defined as commercial institutions registered as a JSC that can accept time deposits. MFCs must be licensed by the National Bank of the Kyrgyz Republic (NBKR, the central bank). There are no excessive capital-adequacy requirements, documentation is in line with international best practice, and all three institutional forms are allowed access to foreign debt and equity financing. Only financial institutions taking deposits are subject to capital-adequacy requirements. The main complaint is imperfect taxation. A handful of commercial banks have also begun to offer microcredit services. Microcredit activity by commercial banks is governed by the Law on Banks and Banking Activities in the Kyrgyz Republic, adopted in 1997; banks are free to set interest rates, as are Microfinance Organisations. The sector does not face unfair competition from subsidised government programmes. A previously state-owned bank, the Kyrgyz Agricultural Finance Corporation, was transformed into a commercial financial institution in 2007 and is currently one of the three largest microfinance banks in the country. (Molavi and Bedelbayeva, 2002; CGAP report, 2002 and 2009; Asian Development Bank 2003 and 2004; Microfinance Regulation and Supervision Resource Centre, August 2006; IFC World Bank Report, 2007, 2008; World Bank, Report on the Observance of Standards and Codes, 2008; COMTEX, 2009; personal interviews: June-July 2009.)</t>
  </si>
  <si>
    <t>The Superintendencia de Bancos y Seguros (SBS, the Banking Superintendency) regulates banks, financial associations, savings and credit mutual associations for housing, savings and credit co-operatives/credit unions above a certain minimum size (currently US$10m in assets), and investment and development corporations. Interest-rate regulations have been successively eased in the last year. Policies on interest-rate caps have been subject to frequent change. Changes partly loosening interest-rate caps, while eliminating commissions were made in 2007-08, and a new technical formula was set up in 2008 to calculate usury caps for different market segments; however, this system was more recently found to be unconstitutional, and caps have been lowered based on what some regulated market participants consider to be discretionary and political considerations and to levels that make it more difficult to cover borrowing and operating expenses. Several public programmes with high subsidies and non-market, social criteria exist and distort competition by re-shaping borrower expectations. Capital-adequacy ratios for regulated institutions (9%) are appropriate and documentation is not excessive. (El Mercurio, August 23rd 2007; personal interviews: August 2008, May 2009; Microfinance Gateway.)</t>
  </si>
  <si>
    <t xml:space="preserve">The Superintendencia del Sistema Financiero (SSF, Financial System Superintendency) is the main regulatory body, and it operates primarily under the 1999 Banking Law and subsequent amendments. Banks, non-banking financial institutions (NBFIs), and federated co-operatives are the major regulated entities operating in microfinance. There is no formal definition of microcredit, although this does not seem to be a major obstacle to the industry's development to date. There is no formal cap on interest rates. Capital-adequacy ratios are strong,
albeit conservative: 12% for all regulated institutions, except new credit unions and savings and credit associations, for which they are 14.5%. There is some first-tier lending by public institutions in the rural and urban sectors, but it takes place at high interest rates and does not reflect subsidies. Documentation requirements are not burdensome. (Personal interviews: August 2008, May-June 2009; Economist Intelligence Unit, Country Finance, December 2008; Microfinance Gateway.)
</t>
  </si>
  <si>
    <t>The National Bank of Ethiopia (NBE, the central bank) provides licensing, regulation and supervision to the microfinance industry. The legislation governing the banking sector is the Licensing and Supervision of Banking Business, Directive No. SBB/1/1994, while the legislation governing microfinance institutions (MFIs) specifically is the Licensing and Supervision of the Business of Micro-financing Institutions Proclamation No. 40/1996 and the Licensing and Supervision of the Business of Micro-financing Institutions Directive No. MFI/01/96. Although banks are free to set interest rates on loans, the NBE requires banks to pay 4% on savings deposits, thereby increasing the cost of mobilising savings. Reporting requirement are not prohibitive. The minimum paid-up capital requirement is relatively low (Birr200,000 or around US$20,000).There are no public schemes to subsidise credit, although the International Fund for Agricultural Development (IFAD), the World Bank and the African Development Bank (AfDB) provide wholesale funds for MFIs through the Rural Financial Intermediation Program. The capital adequacy ratio for MFIs is 12% of risk-weighted assets. There is confusion regarding taxation of MFIs. While MFIs do not pay income taxes, the Ministry of Finance has requested that larger institutions pay income taxes on savings and loans. Foreign-funded organisations are banned from providing any type of banking services, including microfinance. (CGAP Microfinance Regulation Centre, Country Profile; personal interview.)</t>
  </si>
  <si>
    <t>Prudential requirements are strict, but in line with the risk environment. The Law of Georgia on Activities of Commercial Banks does not directly limit microcredit provision, but provisioning on uncollateralised lending by commercial banks is restrictive. In general, the government and the National Bank of Georgia (the central bank) are pro microfinance, but are quite conservative in their risk assessment. The central bank requires capital adequacy calculation based on its own methodology, which is done on a standalone basis. As of December 31st 2008 the capital adequacy ratio is 12% for commercial banks operating in microfinance, which is in line with the regional average. Microfinance organisations (MFOs) are not subject to this requirement and cannot take deposits. While there is no interest rate ceiling for MFOs either, the maximum total amount of a microloan extended by the MFO to one borrower cannot exceed Lari50,000 (US$30,000). This amount is well above the average loan size. (Lebanidze, 2001; Central Bank of Georgia, 2002; Tepnadze, 2002; Agency for International Development, 2003; Vigenina and Kritikos, 2004; SME Support Project, 2005; MicroCapital, March 2006; Georgian Credit, 2006; NBG, September 2006; USAID, August 2008; central bank, Annual Financial Report 2009; personal Interviews: June-July 2009.)</t>
  </si>
  <si>
    <t>The Law on Banks and Financial Groups (2002) provides the main regulatory framework, and the Superintendencia de Bancos (Superintendency of Banks, SB) is responsible for the day-to-day oversight of all financial institutions. The main regulated institutions engaged in microfinance are banks (two of which have significant specialised microfinance units) and co-operatives/credit unions. Laws covering regulation of microfinance and microfinance associations and non-regulated financial institutions have been pending since 2002 and do not seem likely to be approved imminently; this law has been redrafted and discussed several times, and has faced resistance from microfinance institutions (MFIs). Capital-adequacy ratios for regulated institutions (10%) are reasonable. Few public programmes and institutions in microfinance are present, and their activities do no constitute unfair competition. There are no limits on interest rates. Documentation requirements are reasonable. (Personal interviews: August 2008, May 2009; Economist Intelligence Unit, Country Finance, December 2008.)</t>
  </si>
  <si>
    <t xml:space="preserve">Among the private sector banks, Banks Perkreditan Rakyat (BPRs, people’s credit banks) are the main providers of microfinance services in Indonesia. BPRs are mainly concentrated in urban and peri-urban areas in Java and Bali. These are regulated as commercial banks, although unlike commercial banks they are not allowed to participate in the payments and clearance system, are barred from operating outside their home province, and cannot accept foreign investment. Capital requirements for BPRs vary by location and depend on the size of the market they service; around US$555,000 are required to operate in Jakarta; US$222,000 is required to operate outside Jakarta and in provincial capitals on Bali and Java; US$111,000 is required for all other towns on Bali and Java, as well as provincial capitals outside these two islands; US$55,000 is the minimum elsewhere. The capital adequacy ratio is set at a minimum of 8% of risk-weighted assets. 
Although BPRs are the main providers, recent developments indicate that other institutional forms are also possible. Two commercial banks (Danamon and Bank Tabungan Pensiunan Nasional, BPTN) have downscaled into microfinance through subsidiaries that are legally nationwide commercial banks (the capital requirement for commercial banks is US$9m). The Unit Desa offices of the state-backed Bank Rakyat Indonesia (BRI) also offer microfinance services and together form the largest single microfinance provider in Indonesia. The Unit Desa offices are regulated as a commercial bank. The BRI offers services at market rates and otherwise acts as a market player, but its size and government backing have allowed it to expand significantly, so that its outreach and brand image provide a significant advantage in the market. (Meagher 2006; Martowijoyo 2007; PlaNet Finance 2008; personal interviews: June 2009; Banking With the Poor Network 2009; Bank Indonesia; Microfinance Gateway; Permodalan Nasional Madani.) 
</t>
  </si>
  <si>
    <t>The Bank of Jamaica regulates banks, and non-bank financial institutions (NBFIs). Credit unions have been designated by the minister of finance as “specified financial institutions” under the Bank of Jamaica Act. This is a move towards placing these institutions under the supervisory regime of the Bank of Jamaica (BoJ, the central bank), and regulations to establish a formal supervisory framework for these entities have been drafted and are pending. Public subsidies and programmes for microcredit are highly distorting. The lack of specific guidelines for defining and managing microloans poses difficulties, as mainstream financial institutions have little appetite for the risk of microfinance under existing regulations (only one has a microfinance affiliate). There is also some fear on the part of banks of potential political interference on behalf of debtors, should they engage in microlending. There is no usury limit on loan interest rates if the loan is made by a licensed financial institution, although unregulated institutions as well as credit unions do face a cap. However, they may seek a waiver from the authorities if they demonstrate higher costs of lending; with some difficulty, such waivers have been granted recently. Capital adequacy requirements (10% for banks and NBFIs) and documentation requirements are not burdensome. (Personal interviews: August 2008, May 2009; Microfinance Gateway.)</t>
  </si>
  <si>
    <t>The Microfinance Act of 2006 grants the Central Bank of Kenya (CBK) regulatory and supervisory powers over deposit-taking microfinance institutions (MFIs), and the Banking Act (amended 2004) provides the legal basis for the regulation and supervision of banking overall. Under the existing frameworks, banks and non-bank financial institutions (NBFIs) are free to set interest rates and reporting requirements to the Central Bank are not excessive. The required capital adequacy ratio is 12% of total risk-adjusted assets, plus off-balance-sheet items, but only banks and licensed deposit-taking MFIs are allowed to mobilise savings. NBFIs can only provide credit services and forced savings (collateral only). Although the Ministry of Finance has the power to lower minimum capital requirements to promote the microfinance industry in certain geographic areas it has not yet done so. There are no significant publicly subsidised programmes offering microcredit. (Personal interviews: May-July 2009; CCAP country profiles; CGAP regulation and supervision series.)</t>
  </si>
  <si>
    <t>The Bank Superintendency regulates the industry under the authority of the General Banking Law of 1965, and subsequent amendments. In principle, banks, credit and savings banks, credit corporations, savings and loan associations, and savings and credit co-operatives (credit unions) can all engage in regulated microlending, although banks, such as Banco ADEMI and Banco ADOPEM, are the most important regulated actors and have been increasing their presence in microfinance. The co-operative segment, which covers more than 33% of the population, continues to seek the approval of a new co-operatives law, which would focus on the creation of a different supervisory body and the strengthening of the segment's prudential regulation. Some co-operatives have distinct, separate microfinance portfolios, while others do not. Capital-adequacy ratios (10% for banks, credit institutions and non-banking financial institutions) are not burdensome, nor are documentation requirements. There are no interest rate ceilings. One public institution that engages in non-collateralised, non-regulated lending to "microenterprises" and "subsistence microenterprises," PROMYPYME (under the auspices of the Secretariat for Industry and Commerce), has operated on what it claims are "strictly commercial terms". Now that it is run by an autonomous council (Consejo Nacional PROMIPYME) with cabinet rank, under the new law for promotion of micro, small, and medium-sized enterprises passed and promulgated in December 2008, with a much expanded role and budget for first-tier lending, as well as with a 6% annual interest cap on second-tier lending intermediation, it will be important to watch whether or not it operates under market norms. State-owned Banco Agricola, which engages in agricultural lending, gives loans at concessional rates. (Secretariat for Industry and Commerce, 2007; Website, PROMIPYME; Personal interviews, August 2008, July 2009; Marina Ortiz and Mario Davalos, Sondeo sobre las Microfinanzas en la República Dominicana, CORDAID, 18th November 2008; Microfinance Gateway.)</t>
  </si>
  <si>
    <t xml:space="preserve">The Superintendencia General de Entidades Financieras (SUGEF, the General Superintendency of Financial Entities) is in charge of supervising and regulating the financial sector, according to the Organic Law of the Banco Central de Costa Rica (the Central Bank; Law 7558) of 1995. There is no specific legal framework for or definition of microfinance, which has added to the perception of risk and reluctance of banks and other mainstream regulated financial institutions (finance companies) to enter finance. Those credit unions/co-operatives that engage in financial intermediation for the general public (savings and loans) and above a certain size are regulated by SUGEF as well, and some of these operations extend to microfinance. There is no regulation of interest rates. Two state-owned banks are able to lend for longer periods, at lower rates, and with less control on the final destination of lent funds (for example, some could be diverted from production to consumption), which distorts competition to a degree. Capital-adequacy ratios and documentation requirements are not burdensome. (August 2008; Economist Intelligence Unit, Country Finance, February 2009; personal interviews: May 2009.) </t>
  </si>
  <si>
    <t xml:space="preserve">Regulated institutions involved in microfinance, supervised by the Financial Superintendency, are banks and, to a lesser extent, non-banking financial institutions (NBFIs; commercial finance companies, leasing companies and family compensation funds) and finance co-operatives/credit unions. Under Law 964, passed in July 2005, and Decrees 4347, 4328, 4329 and 4330, passed in November 2005, the Financial Superintendency was created, merging the bank regulator (Superintendencia Bancaria) and the securities and insurance commission (Superintendencia de Valores y Seguros). 
Article 39 of Law 590 from 2000 defines microcredit as the system for financing microenterprise, and positive changes introduced in March 2008 under decree 919 establish that the main source of funds for loan-repayment must come from microenterprise business activities. The intent of this new regulation is to distinguish microlending from consumption lending; however, the effects of the new criteria on institutions’ portfolio reclassification efforts remain unclear in the long run. There is an interest rate cap for microcredit operations by regulated institutions in the form of a usury law; under Decree 519 of March 2007, the Superintendency now calculates the quarterly rate for consumer and commercial loans, and annually for micro-business loans. The rate was set at 25.12% for consumption and commercial loans for April-June 2007, and at 33.93% for micro-business loans for the April 2007-March 2008 period; however, they have not been adjusted since and remain the same as of May 2009 given the government's political priorities. According to the new decree, commissions and fees must be transparently calculated in the interest rates; the Superintendency is currently operating under extended authority to allow it to re-calculate interest rates for such loans on the basis of the new requirement. Public programmes and institutions are mostly limited to second-tier operations and generally do not compete directly with first-tier institutions. Capital-adequacy ratios (of 9% for all regulated institutions) are appropriate, and documentation requirements are not burdensome. (Economist Intelligence Unit, Country Finance, May 2008; personal interviews: August 2008, May 2009; Decree no. 919; Microfinance Gateway.) 
</t>
  </si>
  <si>
    <t>Licensing, regulation, and supervision of microfinance are conducted by the National Bank of Cambodia (NBC, the central bank) under the Law on Banking and Financial Institutions of 1999 (LBFI). The regulatory framework permits limited liability companies (LLCs, including banks) to offer microcredit services. So far, only one bank, Association of Cambodian Local Economic Development Agencies (ACLEDA), is active in the microfinance industry. The capital adequacy ratio for banks is 15% and the reserve requirement is 8%. However, prudential regulations for microfinance institutions (MFIs) are generally tighter than for commercial banks: the capital adequacy ratio is 20% for MFIs compared with 15% for banks, whereas the liquidity ratio is 100% compared with 50% for commercial banks. Conversely, the reserve requirement for MFIs is 5%, less onerous than the 8% requirement for banks. There are no interest rate restrictions, nor is there competition from state-subsidised providers. (CGAP 2005; International Development Law Organisation 2008; PlaNet Finance 2008; personal interviews: June 2009; Banking With the Poor; Microfinance Gateway.)</t>
  </si>
  <si>
    <t xml:space="preserve">The microfinance law, passed in 2002, governs microfinance activity in the country. It defines microfinance institutions (MFIs) by their respective activities (taking deposits, lending only, and so on), rather than by legal structure. Under this law, MFIs and banks are subject to a minimum deposit rate, although MFIs are free to set lending interest rates. Only since July 2008 are banks free to set interest rates; until then, they had been subject to a 15% lending rate ceiling. 
In an attempt to enter the under-funded SME market, banks have begun to form links with MFIs. For example, Afriland First Bank provides technical and financial assistance to rural microfinance mutual associations. Société Générale des Banques au Cameroun (SGBC), Banque Internationale pour le Commerce et l’Economie au Cameroun (BICEC) and Crédit Mutuel de France bought minority shares in MFIs in the region. However, such developments require a strengthening of Cameroon’s currently weak supervisory capacity. (Personal interviews: June 2009; Recueil des textes réglementaires relatifs à l’activité de microfinance dans la Communauté Economique et Monétaire de l’Afrique Centrale.)
</t>
  </si>
  <si>
    <t>The Superintendencia Bancaria y Financiera (SBIF, the Superintendency of Banks and Financial Institutions), which functions independently from the Banco Central de Chile (the Central Bank), is the chief regulator. Law 252 of 1960 is the primary legal instrument. The main regulated institutions operating in microfinance are state and commercial banks and non-banking financial companies (of which three large ones operate in microfinance). Credit unions/co-operatives, of which the country has over 2,000, are limited to members and may be for-profit or non-profit from 2003; they are regulated by the Department of Co-operatives of the Ministry of the Economy, following a similar model of regulation and supervision to that of the SBIF, although they are not subject to certain restrictions, such as tight SBIF regulations on establishment of branches. Pursuant to usury laws, the SBIF sets an annual maximum interest rate (applicable to all regulated institutions, but not non-governmental organisations, NGOs), as well as maximum monthly rates (based on the average rates of the previous months x 1.5); there are different maximum rates for each credit segment. However, rates are not considered to be restrictive. Only a few subsidies remain for public programmes that compete with private institutions, as public institutions (such as Banco Estado) have moved toward commercial criteria and the state's primary role is to promote microfinance. It does so in a relatively even-handed fashion across all types of institutions. Neither capital adequacy ratios (8-10% depending on size of institution, and in transition toward Basel II norms) nor documentation requirements are burdensome. (Padilla and Gillet, 2001; personal interviews: August 2008, June 2009; Economist Intelligence Unit, Country Finance, May 2009.)</t>
  </si>
  <si>
    <t xml:space="preserve">Around 120 city commercial banks (CCBs) operate throughout the country and most evolved from urban credit co-operatives, giving them an historical base in microfinance services. In 2006 the China Development Bank also launched a major effort to provide funds and technical support to selected CCBs that lend to micro, small and medium enterprises. However, only eight institutions currently do so and manage a combined portfolio of US$80m in loans outstanding to just 12,000 clients. Supervision of banking activities is carried out jointly by the People's Bank of China (PBOC, the central bank) and the China Banking Regulatory Commission (CBRC). The financial offices of provincial governments are also involved in supervising financial institutions in their districts. Loan rates for commercial banks and all other financial institutions are regulated: the maximum lending rate must be less than 4 times the benchmark rate set by the government (in practice, this means 20-30% per annum), and the minimum lending rate must be more than 0.9 times the benchmark rate. The capital adequacy ratio for all banks and non-banks is 8%. (Sun, R 2003; Du 2005; PlaNet Finance 2008; Sun, T. 2008; personal interviews: July 2009; CAM; CBRC; PBOC; Microfinance Gateway.) </t>
  </si>
  <si>
    <t>The Banco Central do Brasil (the Central Bank) is the main regulator, under specific laws and regulations for banks, development banks and non-banking financial institutions, such as credit unions. The principal established institutions engaged in microfinance are banks and credit unions/co-operatives, although many institutions in both categories do not offer microfinance. The microfinance operations of banks increased under regulations adopted in 1999 and 2000 to increase access to financial services on the part of the general population, especially lower-income sectors. Banks were allowed to establish "banking correspondents" (in post offices and pharmacies, for example) in order to widen access to financial services. With these changes, a number of commercial banks rushed into the market to offer a wide range of services to poorer households. Moreover, banks face a requirement called recursos direcionados to dedicate 2% of their time deposits, such as microcredit through their own operations or specialised entities they create. to social ends or they will have this money withheld without inflation indexation. Like other institutions engaged in microfinance (credit co-operatives are another major regulated institution engaging in microfinance, with overall supervision by the Central Bank and day-to-day supervision through co-operative federations), commercial banks face some direct or indirect competition from a range of government-subsidised or semi-subsidised programmes, such as the many institutions funded by Banco Nacional de Desenvolvimiento Econômico e Social (BNDES, the national development bank) and the Banco do Nordeste's CrediAmigo programme; the underserved nature of the Brazilian microfinance market lessens its impact, however. Usury laws do not apply to banks or other regulated institutions, although BNDES funding (for non-banking financial institutions or credit unions, for example) does come with interest rate caps or guidelines. Capital-adequacy standards (maximum debt-to-liquid assets ratio is five times for banks, with gearing ratios only for credit unions) and documentation requirements are not burdensome. (Meagher et al, 2006; personal interviews: July 2008, May 2009; Rosales, ICC, August 2008.)</t>
  </si>
  <si>
    <t>Two types of institutions are actively engaged in microlending in Azerbaijan: banks and non-bank credit organisations (NBCOs). Microlending is governed by the Civil Code and the Law on Banks and Banking Activities approved in 2004. Credit unions are governed by the Law of the Republic of Azerbaijan on Credit Unions, approved in 2000. The current legislation does not distinguish microfinance from standard commercial banking, but both banks and NBCOs are allowed to conduct microfinance activities. Microcredit activity by commercial banks is closely scrutinised by the Central Bank of Azerbaijan (the Central Bank), which can issue normative legal acts that are binding on banks and non-banks. Recent measures include higher provisioning requirements and tighter lending rules on forex loans. The capital adequacy requirement is 12% and market participants say de facto rules allow a lot of flexibility for both banks and microfinance institutions (MFIs). Market participants can set interest rates freely and there are no market-distorting credit programmes subsidised by the state. However, the role of credit unions currently operating in the country is curtailed by a restriction on voluntary deposit mobilisation for on-lending. Credit unions must lend from equity contributions and donor grants. (MIX Market report, 2006; Microfinance Centre for CEE &amp; NIS 2007; Microfinance Centre, Investor Letter 2008; CGAP March, 2009; personal Interviews: June-July 2009; central bank.)</t>
  </si>
  <si>
    <t xml:space="preserve">The Bangladesh Bank regulates the country’s banks and financial institutions, with the exception of the member-owned for-profit Grameen Bank, which operates within the limits of the Grameen Bank Ordinance, the law that transformed it from a non-governmental organisation (NGO) into a specialised bank in 1983. However, like the country’s other banks, Grameen is required to maintain a capital adequacy ratio of at least 9%. The largest microfinance institution (MFI) in Bangladesh with 7.93m borrowers, Grameen is free to set market interest rates, mobilise savings from the public, and sell bonds and debentures guaranteed by the government. The state-owned commercial banks and specialised banks, domestic private banks and foreign banks can enter the microfinance space, but they currently do not have the option to set up low-cost rural branching systems or consider various branchless (agent) arrangements, as authorisation from Bangladesh Bank (the central bank) is required and the bank has not approved any requests to date, nor has it issued any regulations on such arrangements. This puts commercial banks at a disadvantage against Grameen and NGOs, whose low costs and decentralised structures are seen as more suited to the microfinance industry. (Bangladesh Bank; Credit and Development Forum, Bangladesh; Grameen Bank; personal interviews: May 2009.) </t>
  </si>
  <si>
    <t>The Law on Banks and Financial Entities (1993), the Central Bank Law (1995) and their subsequent amendments provide the main juridical anchors for microfinance regulation. The main supervisory agency is the Autoridad de Supervisión del Sistema Financiero (ASFI, Financial System Supervisory Authority). The regulatory framework has permitted commercial banks, Fondos Financieros Privados, (private financial funds, or FFPs), and mutual benefit associations and home loan societies to undertake large, active microfinance operations. These regulated institutions have not faced interest-rate restrictions or excessive documentation requirements and capital-adequacy ratios (10%) have not been burdensome. Direct competition from first-tier, state-subsidised microlending programmes has also been non-existent. However, there have been some worrisome recent moves in the last year or two, which in general seem to reflect great politicisation of microfinance regulation. Provisioning requirements have been tightened and greater restrictions have been placed on fees and commissions, squeezing FFPs in particular. Also, a government-run second-tier bank currently offers subsidised loans (3% per annum) to banks that agree to on-lend for 6%, although few banks have accepted this funding since it is difficult to operate profitably under such terms. So far, only two banks have taken such credits, using cross-subsidies from their other portfolios to make viable a rate that otherwise does not cover administrative costs of microfinance institutions (MFIs). (Meagher et al, 2006; personal interviews: August 2008, May 2009; Microfinance Gateway.)</t>
  </si>
  <si>
    <t xml:space="preserve">Two types of microfinance institution (MFI)—non-profit microcredit foundations and for-profit microcredit companies—are governed by The Law on Microfinance Institutions adopted in 2006. Both institutional forms, as well as full-fledged commercial banks, are supervised by the Banking Agency of the Federation of Bosnia and Herzegovina. Banks and financial institutions are free to set interest rates, but provisioning requirements for microloans provided by MFIs are burdensome and there is a cap on the size of loans: the maximum loan amount allowed in either geography is €5,000 (US$7,359) for a non-profit microcredit foundation (MCF) and €25,000 EUR for for-profit microcredit companies (MCCs). These act as a constraint on the overall development of microcredit and restrict the client base, putting MFIs at a disadvantage compared with banks. MFI lenders based in the Bosnian Federation also complain about unfair competition from MFIs in Republic Srpska, where there are more generous caps on loan sizes. The capital adequacy ratio for banks is 10%, but MCFs and MCCs are not subject to this requirement. (Law on Microcredit Organizations, 2000; Microfinance Centre for CEE &amp; NIS, May 2003; Microfinance for CEE &amp; CGAP, 2003; Staschen, 2003; Lyman, April 2005; Microcredit, 2005; MIX &amp; CGAP, March 2009; personal interviews: June-July 2009.) </t>
  </si>
  <si>
    <t>DISPLAY NOTES FOR:</t>
  </si>
  <si>
    <t>Non-Hilight</t>
  </si>
  <si>
    <t>Highlight</t>
  </si>
  <si>
    <t>Country Highlight</t>
  </si>
  <si>
    <t>SUB-SAHARAN AFRICA</t>
  </si>
  <si>
    <t>ALL ASIA</t>
  </si>
  <si>
    <t>EAST ASIA</t>
  </si>
  <si>
    <t>EASTERN EUROPE/CENTRAL ASIA</t>
  </si>
  <si>
    <t>X7</t>
  </si>
  <si>
    <t>X8</t>
  </si>
  <si>
    <t>X9</t>
  </si>
  <si>
    <t>X10</t>
  </si>
  <si>
    <t>Upscaling has not been as widespread as in some other economies, as minimum capital, loan-loss provisioning and other standards must be met. However, in recent years PROCREDIT upgraded from a financiera (a regulated non-banking institution) to a bank; FINDESA from an NGO to a financiera to a bank; and FAMA from an NGO to a financiera. At least one NGO is currently considering upgrading to finance company status. No regulations currently exist to promote specialised MFIs, though the pending microfinance law might create such a figure in the future. Financieras are still limited in the range of services they are allowed to offer, which make them less than ideal vehicles. (Microfinance Gateway; Personal interviews, June 2009, August 2008).</t>
  </si>
  <si>
    <t>CountryID</t>
  </si>
  <si>
    <t>&lt;none&gt;</t>
  </si>
  <si>
    <t>Country</t>
  </si>
  <si>
    <t>ISO</t>
  </si>
  <si>
    <t>AR</t>
  </si>
  <si>
    <t>Argentina</t>
  </si>
  <si>
    <t>Latin America and the Caribbean</t>
  </si>
  <si>
    <t>AM</t>
  </si>
  <si>
    <t>Armenia</t>
  </si>
  <si>
    <t>Eastern Europe</t>
  </si>
  <si>
    <t>AZ</t>
  </si>
  <si>
    <t>Azerbaijan</t>
  </si>
  <si>
    <t>BD</t>
  </si>
  <si>
    <t>Bangladesh</t>
  </si>
  <si>
    <t>South Asia</t>
  </si>
  <si>
    <t>BO</t>
  </si>
  <si>
    <t>Bolivia</t>
  </si>
  <si>
    <t>BA</t>
  </si>
  <si>
    <t>Bosnia</t>
  </si>
  <si>
    <t>BR</t>
  </si>
  <si>
    <t>Brazil</t>
  </si>
  <si>
    <t>KH</t>
  </si>
  <si>
    <t>Cambodia</t>
  </si>
  <si>
    <t>East Asia</t>
  </si>
  <si>
    <t>CM</t>
  </si>
  <si>
    <t>Cameroon</t>
  </si>
  <si>
    <t>Africa</t>
  </si>
  <si>
    <t>CL</t>
  </si>
  <si>
    <t>Chile</t>
  </si>
  <si>
    <t>CN</t>
  </si>
  <si>
    <t>China</t>
  </si>
  <si>
    <t>CO</t>
  </si>
  <si>
    <t>Colombia</t>
  </si>
  <si>
    <t>CR</t>
  </si>
  <si>
    <t>Costa Rica</t>
  </si>
  <si>
    <t>DO</t>
  </si>
  <si>
    <t>Dominican Republic</t>
  </si>
  <si>
    <t>ZR</t>
  </si>
  <si>
    <t>DRC</t>
  </si>
  <si>
    <t>EC</t>
  </si>
  <si>
    <t>Ecuador</t>
  </si>
  <si>
    <t>SV</t>
  </si>
  <si>
    <t>El Salvador</t>
  </si>
  <si>
    <t>ET</t>
  </si>
  <si>
    <t>Ethiopia</t>
  </si>
  <si>
    <t>GE</t>
  </si>
  <si>
    <t>Georgia</t>
  </si>
  <si>
    <t>GH</t>
  </si>
  <si>
    <t>Ghana</t>
  </si>
  <si>
    <t>GT</t>
  </si>
  <si>
    <t>Guatemala</t>
  </si>
  <si>
    <t>HT</t>
  </si>
  <si>
    <t>Haiti</t>
  </si>
  <si>
    <t>HN</t>
  </si>
  <si>
    <t>Honduras</t>
  </si>
  <si>
    <t>IN</t>
  </si>
  <si>
    <t>India</t>
  </si>
  <si>
    <t>ID</t>
  </si>
  <si>
    <t>Indonesia</t>
  </si>
  <si>
    <t>JM</t>
  </si>
  <si>
    <t>Jamaica</t>
  </si>
  <si>
    <t>KE</t>
  </si>
  <si>
    <t>Kenya</t>
  </si>
  <si>
    <t>KG</t>
  </si>
  <si>
    <t>Kyrgyzstan</t>
  </si>
  <si>
    <t>LB</t>
  </si>
  <si>
    <t>Lebanon</t>
  </si>
  <si>
    <t>Middle East and North Africa</t>
  </si>
  <si>
    <t>MG</t>
  </si>
  <si>
    <t>Madagascar</t>
  </si>
  <si>
    <t>MX</t>
  </si>
  <si>
    <t>Mexico</t>
  </si>
  <si>
    <t>MN</t>
  </si>
  <si>
    <t>Mongolia</t>
  </si>
  <si>
    <t>MA</t>
  </si>
  <si>
    <t>Morocco</t>
  </si>
  <si>
    <t>MZ</t>
  </si>
  <si>
    <t>Mozambique</t>
  </si>
  <si>
    <t>NP</t>
  </si>
  <si>
    <t>Nepal</t>
  </si>
  <si>
    <t>NI</t>
  </si>
  <si>
    <t>Nicaragua</t>
  </si>
  <si>
    <t>NG</t>
  </si>
  <si>
    <t>Nigeria</t>
  </si>
  <si>
    <t>PK</t>
  </si>
  <si>
    <t>Pakistan</t>
  </si>
  <si>
    <t>PA</t>
  </si>
  <si>
    <t>Panama</t>
  </si>
  <si>
    <t>PY</t>
  </si>
  <si>
    <t>Paraguay</t>
  </si>
  <si>
    <t>PE</t>
  </si>
  <si>
    <t>Peru</t>
  </si>
  <si>
    <t>PH</t>
  </si>
  <si>
    <t>Philippines</t>
  </si>
  <si>
    <t>RW</t>
  </si>
  <si>
    <t>Rwanda</t>
  </si>
  <si>
    <t>SN</t>
  </si>
  <si>
    <t>Senegal</t>
  </si>
  <si>
    <t>LK</t>
  </si>
  <si>
    <t>Sri Lanka</t>
  </si>
  <si>
    <t>TJ</t>
  </si>
  <si>
    <t>Tajikistan</t>
  </si>
  <si>
    <t>TZ</t>
  </si>
  <si>
    <t>Tanzania</t>
  </si>
  <si>
    <t>TH</t>
  </si>
  <si>
    <t>Thailand</t>
  </si>
  <si>
    <t>TT</t>
  </si>
  <si>
    <t>Trinidad and Tobago</t>
  </si>
  <si>
    <t>TR</t>
  </si>
  <si>
    <t>Turkey</t>
  </si>
  <si>
    <t>UG</t>
  </si>
  <si>
    <t>Uganda</t>
  </si>
  <si>
    <t>UY</t>
  </si>
  <si>
    <t>Uruguay</t>
  </si>
  <si>
    <t>VE</t>
  </si>
  <si>
    <t>Venezuela</t>
  </si>
  <si>
    <t>VN</t>
  </si>
  <si>
    <t>Vietnam</t>
  </si>
  <si>
    <t>YE</t>
  </si>
  <si>
    <t>Yemen</t>
  </si>
  <si>
    <t>REGION_FILTER_ID</t>
  </si>
  <si>
    <t>REGION_HILITE_ID</t>
  </si>
  <si>
    <t>WEIGHT_PROFILE_ID</t>
  </si>
  <si>
    <t>NONE</t>
  </si>
  <si>
    <t>SOUTH ASIA</t>
  </si>
  <si>
    <t>ALL COUNTRIES</t>
  </si>
  <si>
    <t>HILITE</t>
  </si>
  <si>
    <t>X1</t>
  </si>
  <si>
    <t>X2</t>
  </si>
  <si>
    <t>X3</t>
  </si>
  <si>
    <t>X4</t>
  </si>
  <si>
    <t>X5</t>
  </si>
  <si>
    <t>X6</t>
  </si>
  <si>
    <t>STATUS#1</t>
  </si>
  <si>
    <t>STATUS#2</t>
  </si>
  <si>
    <t>MODE_FILTER</t>
  </si>
  <si>
    <t>REGION_FILTER</t>
  </si>
  <si>
    <t>RegionID</t>
  </si>
  <si>
    <t>Region</t>
  </si>
  <si>
    <t>StatusID</t>
  </si>
  <si>
    <t>Status</t>
  </si>
  <si>
    <t>Hidden</t>
  </si>
  <si>
    <t>Visible</t>
  </si>
  <si>
    <t>Hilite</t>
  </si>
  <si>
    <t>Selected</t>
  </si>
  <si>
    <t>DisplayModeID</t>
  </si>
  <si>
    <t>DisplayMode</t>
  </si>
  <si>
    <t>Countries + Regions</t>
  </si>
  <si>
    <t>Regional averages</t>
  </si>
  <si>
    <t>DISPLAY_MODE_ID</t>
  </si>
  <si>
    <t>includes &lt;none&gt;</t>
  </si>
  <si>
    <t>COUNTRY_ID</t>
  </si>
  <si>
    <t>COUNTRY_DD</t>
  </si>
  <si>
    <t>Country scores</t>
  </si>
  <si>
    <t>IndicatorID</t>
  </si>
  <si>
    <t>Level</t>
  </si>
  <si>
    <t>IndicatorCode</t>
  </si>
  <si>
    <t>Parent</t>
  </si>
  <si>
    <t>Indicator_short</t>
  </si>
  <si>
    <t>Indicator_long</t>
  </si>
  <si>
    <t>Indicator_context</t>
  </si>
  <si>
    <t>Unit</t>
  </si>
  <si>
    <t>NeutralWeight, %</t>
  </si>
  <si>
    <t>RF00</t>
  </si>
  <si>
    <t>RF01</t>
  </si>
  <si>
    <t>RF02</t>
  </si>
  <si>
    <t>RF03</t>
  </si>
  <si>
    <t>RF04</t>
  </si>
  <si>
    <t>IC00</t>
  </si>
  <si>
    <t>IC01</t>
  </si>
  <si>
    <t>IC02</t>
  </si>
  <si>
    <t>IC03</t>
  </si>
  <si>
    <t>IC04</t>
  </si>
  <si>
    <t>IC05</t>
  </si>
  <si>
    <t>IC06</t>
  </si>
  <si>
    <t>ID00</t>
  </si>
  <si>
    <t>ID01</t>
  </si>
  <si>
    <t>ID02</t>
  </si>
  <si>
    <t>ID03</t>
  </si>
  <si>
    <t>OVERALL</t>
  </si>
  <si>
    <t>Overall score</t>
  </si>
  <si>
    <t xml:space="preserve">Regulatory Framework </t>
  </si>
  <si>
    <t>Regulation of microcredit operations</t>
  </si>
  <si>
    <t>Formation and operation of non-regulated MFIs</t>
  </si>
  <si>
    <t>Regulatory and examination capacity</t>
  </si>
  <si>
    <t>Investment Climate</t>
  </si>
  <si>
    <t>Political stability</t>
  </si>
  <si>
    <t>Capital market development</t>
  </si>
  <si>
    <t>Judicial system</t>
  </si>
  <si>
    <t>Accounting standards</t>
  </si>
  <si>
    <t>Governance standards</t>
  </si>
  <si>
    <t>MFI transparency</t>
  </si>
  <si>
    <t>Institutional Development</t>
  </si>
  <si>
    <t>Range of MFI Services</t>
  </si>
  <si>
    <t>Credit bureaus</t>
  </si>
  <si>
    <t>Level of competition</t>
  </si>
  <si>
    <t>Overall score: Weighted sum of the following category scores:
●  Regulatory Framework 
●  Investment Climate
●  Institutional Development</t>
  </si>
  <si>
    <t>Category score: Weighted sum of the following indicators:
●  Regulation of microcredit operations
●  Formation and operation of regulated/supervised specialised MFIs
●  Formation and operation of non-regulated MFIs
●  Regulatory and examination capacity</t>
  </si>
  <si>
    <t>Category score: Weighted sum of the following indicators
●  Political stability
●  Capital market development
●  Judicial system
●  Accounting standards
●  Governance standards
●  MFI transparency</t>
  </si>
  <si>
    <t>Category score: Weighted sum of the following indicators:
●  Range of MFI Services
●  Credit bureaus
●  Level of competition</t>
  </si>
  <si>
    <t>Normalised score 0-100, 100=best</t>
  </si>
  <si>
    <t>Qualitative assessment 0-4</t>
  </si>
  <si>
    <t>Score0Text</t>
  </si>
  <si>
    <t>Score1Text</t>
  </si>
  <si>
    <t>Score2Text</t>
  </si>
  <si>
    <t>Score3Text</t>
  </si>
  <si>
    <t>Score4Text</t>
  </si>
  <si>
    <t>DEP01</t>
  </si>
  <si>
    <t>DEP02</t>
  </si>
  <si>
    <t>MFI clients as % of population</t>
  </si>
  <si>
    <t>MFI clients as % of microenterprises</t>
  </si>
  <si>
    <t>% of population</t>
  </si>
  <si>
    <t>% of microenterprises</t>
  </si>
  <si>
    <t>Indicator_tree</t>
  </si>
  <si>
    <t>W-Row</t>
  </si>
  <si>
    <t>W-Nom</t>
  </si>
  <si>
    <t>W-%</t>
  </si>
  <si>
    <t>QUALI_INDI_DD</t>
  </si>
  <si>
    <t>QUALI_INDI_ID</t>
  </si>
  <si>
    <t>INDI_ID</t>
  </si>
  <si>
    <t>Score</t>
  </si>
  <si>
    <t>TARGET</t>
  </si>
  <si>
    <t>Indicators</t>
  </si>
  <si>
    <t>Categories</t>
  </si>
  <si>
    <t>0=No such regulations exist or regulations are prohibitive;
1=Regulations create serious obstacles;
2=Regulations create at least two such obstacles for MFIs;
3=Regulations create minor obstacles;
4=Regulations present no significant obstacles;</t>
  </si>
  <si>
    <t>0=No regulations exist;
1=Regulations exist but multiple obstacles make formation very difficult;
2=Regulations exist though there are significant obstacles;
3=Regulations exist with relatively few obstacles;
4=Regulations facilitate formation</t>
  </si>
  <si>
    <t>0=NGOs are barred from microcredit;
1=NGOs face many obstacles;
2=NGOs face some obstacles;
3=NGOs face only minor obstacles;
4=NGOs face no significant obstacles</t>
  </si>
  <si>
    <t>0=No specialised capacity;
1=Very limited capacity;
2=Some capacity;
3=Substantial capacity;
4=Excellent capacity</t>
  </si>
  <si>
    <t>0-100 where 100=best</t>
  </si>
  <si>
    <t>0=Extreme instability;
1=Considerable instability;
2=Moderate instability;
3=Stable;
4=Very stable</t>
  </si>
  <si>
    <t>0=Capital markets are undeveloped;
1=Capital markets exist but lack depth and breadth;
2=Capital markets are lacking in either depth or breadth;
3=Capital markets are moderately well developed;
4=Capital markets are deep and broad</t>
  </si>
  <si>
    <t>0=Judicial system is extremely poor, corrupt or politicised;
1=Judicial system has several important faults;
2=Judicial system has strengths and shortcomings;
3=Judicial system is basically sound;
4=Judicial system is solid, incorruptible and free of political influence.</t>
  </si>
  <si>
    <t>0=There are no generally established accounting standards;
1=National standards exist but are weak and ineffective;
2=National standards are established but fall short of international best practices;
3=National standards are similar to or moving towards international standards;
4=International standards are followed</t>
  </si>
  <si>
    <t>0=Standards do not exist;
1=Standards exist, but are weak;
2=Modest and unevenly effective standards;
3=Significant if imperfect standards exist in law and practice;
4=Standards of high accountability and transparency are followed in law and practice</t>
  </si>
  <si>
    <t>0=MFIs rarely or never engage in such practices;
1=MFIs follow at best one such practice, and with uneven results;
2=MFIs follow some of these practices, with modest results;
3=MFIs follow most of these practices with generally favourable results;
4= MFIs follow all these practices</t>
  </si>
  <si>
    <t>0=MFIs do not generally offer additional services;
1=MFIs generally offer only limited services beyond microcredit;
2=MFIs generally offer a modest range of services;
3=MFIs offer a wide range of services;
4=MFIs offer a full, extensive range of services</t>
  </si>
  <si>
    <t>0=Credit bureaus do not exist;
1=Credit bureaus are weak and unreliable in most of these ways;
2=Credit bureaus are weak in some of these ways;
3=Credit bureaus are weak in one of these ways;
4=Credit bureaus provide comprehensive information on the whole range of transactions and also include positive information about borrowers (on-time payment history, etc)</t>
  </si>
  <si>
    <t>0=Very high score on the Hirschmann-Herfindahl Index (HHI) of 2601 and over;
1=High HHI of 1801-2600;
2=Moderate HHI of 1001-1800;
3=Low HHI of 501-1000;
4=Very low HHI of 0-500</t>
  </si>
  <si>
    <t>No such regulations exist or regulations are prohibitive</t>
  </si>
  <si>
    <t>Regulations create serious obstacles</t>
  </si>
  <si>
    <t>Regulations create at least two such obstacles for MFIs</t>
  </si>
  <si>
    <t>Regulations present no significant obstacles</t>
  </si>
  <si>
    <t>Regulations create minor obstacles</t>
  </si>
  <si>
    <t>No regulations exist</t>
  </si>
  <si>
    <t>Regulations exist but multiple obstacles make formation very difficult</t>
  </si>
  <si>
    <t>Regulations exist though there are significant obstacles</t>
  </si>
  <si>
    <t>Regulations exist with relatively few obstacles</t>
  </si>
  <si>
    <t>Regulations facilitate formation</t>
  </si>
  <si>
    <t>NGOs are barred from microcredit</t>
  </si>
  <si>
    <t>NGOs face many obstacles</t>
  </si>
  <si>
    <t>NGOs face some obstacles</t>
  </si>
  <si>
    <t>NGOs face only minor obstacles</t>
  </si>
  <si>
    <t>NGOs face no significant obstacles</t>
  </si>
  <si>
    <t>No specialised capacity</t>
  </si>
  <si>
    <t>Very limited capacity</t>
  </si>
  <si>
    <t>Some capacity</t>
  </si>
  <si>
    <t>Substantial capacity</t>
  </si>
  <si>
    <t>Extreme instability</t>
  </si>
  <si>
    <t>Considerable instability</t>
  </si>
  <si>
    <t>Moderate instability</t>
  </si>
  <si>
    <t>Stable</t>
  </si>
  <si>
    <t>Very stable</t>
  </si>
  <si>
    <t>Capital markets are undeveloped</t>
  </si>
  <si>
    <t>Capital markets exist but lack depth and breadth</t>
  </si>
  <si>
    <t>Capital markets are lacking in either depth or breadth</t>
  </si>
  <si>
    <t>Capital markets are moderately well developed</t>
  </si>
  <si>
    <t>Capital markets are deep and broad</t>
  </si>
  <si>
    <t>Judicial system is extremely poor, corrupt or politicised</t>
  </si>
  <si>
    <t>Judicial system has several important faults</t>
  </si>
  <si>
    <t>Judicial system is basically sound</t>
  </si>
  <si>
    <t>International standards are followed</t>
  </si>
  <si>
    <t>Standards of high accountability and transparency are followed in law and practice</t>
  </si>
  <si>
    <t>MFIs rarely or never engage in such practices</t>
  </si>
  <si>
    <t>MFIs follow at best one such practice, and with uneven results</t>
  </si>
  <si>
    <t>MFIs follow most of these practices with generally favourable results</t>
  </si>
  <si>
    <t xml:space="preserve"> MFIs follow all these practices</t>
  </si>
  <si>
    <t>MFIs offer a full, extensive range of services</t>
  </si>
  <si>
    <t>Credit bureaus do not exist</t>
  </si>
  <si>
    <t>Credit bureaus are weak and unreliable in most of these ways</t>
  </si>
  <si>
    <t>Credit bureaus are weak in some of these ways</t>
  </si>
  <si>
    <t>Credit bureaus are weak in one of these ways</t>
  </si>
  <si>
    <t>Judicial system has strengths and shortcomings</t>
  </si>
  <si>
    <t>Are regulations conducive to microcredit provision by banks and other established financial institutions?</t>
  </si>
  <si>
    <t>Are regulations conducive to the formation and operation of “specialised MFIs,” such as greenfield MFIs and upscaling NGOs transforming themselves into MFIs?</t>
  </si>
  <si>
    <t>For example, are specialised MFIs free to set market interest rates, can they avoid excessive documentation and capital-adequacy ratios, and are they free from unfair competition from subsidised public programmes and institutions?</t>
  </si>
  <si>
    <t>Is the legal framework conducive to the formation and operations of microcredit operations by non-governmental organisations (NGOs)?</t>
  </si>
  <si>
    <t>Do regulatory institutions possess a specialised capacity for the examination and regulation of microcredit?</t>
  </si>
  <si>
    <t>How important are the internal and external threats to the stability of the serving government or the political system in general?</t>
  </si>
  <si>
    <t>The EIU’s Political stability rating is a category score in Risk Briefing. It is the average of five indicators: Social unrest, Orderly transfers, Opposition stance, Excessive executive authority and International tensions.</t>
  </si>
  <si>
    <t>This score is based on the average of five scores in the EIU's Risk Briefing: Depth of financing, Access to local markets, Marketable debt, Banking sector health and Stockmarket liquidity.</t>
  </si>
  <si>
    <t xml:space="preserve">Are local capital markets developed?
</t>
  </si>
  <si>
    <t>Does the judicial system allow for speedy, effective and consistent resolution of disputes?</t>
  </si>
  <si>
    <t>Average of three scores in the EIU's Risk Briefing: Fairness of the judicial process, Enforceability of contracts and Speediness of the judicial process.</t>
  </si>
  <si>
    <t>Are accounting standards in line with international norms (ie, US GAAP, IAS, IFRS)?</t>
  </si>
  <si>
    <t>Do governance standards of accountability and independence exist for corporations and institutions engaged in microcredit?</t>
  </si>
  <si>
    <t>Do microfinance institutions routinely disclose their effective interest rates, conduct external audits and receive external ratings?</t>
  </si>
  <si>
    <t>Do MFIs offer a wide range of financial services to low-income populations in addition to microcredit?</t>
  </si>
  <si>
    <t>eg, insurance, savings, transfer of remittances, etc.</t>
  </si>
  <si>
    <t>Are there effective, reliable credit bureaus?</t>
  </si>
  <si>
    <t>How competitive is the MFI sector? Do micro-borrowers have a wide range of institutions from which to choose?</t>
  </si>
  <si>
    <t xml:space="preserve"> </t>
  </si>
  <si>
    <t>INDICATORS GROUPED</t>
  </si>
  <si>
    <t>REGION_FILTER_DD</t>
  </si>
  <si>
    <t>x</t>
  </si>
  <si>
    <t>COUNTRY HIGHLIGHT</t>
  </si>
  <si>
    <t>REGION FILTER</t>
  </si>
  <si>
    <t>REGION HIGHLIGHT</t>
  </si>
  <si>
    <t>INDICATOR</t>
  </si>
  <si>
    <t>For instance, are banks free to set market interest rates, can they avoid excessive documentation and capital-adequacy ratios, and are they free from unfair competition from subsidised public programmes and institutions?</t>
  </si>
  <si>
    <t>There are no generally established accounting standards</t>
  </si>
  <si>
    <t>Standards do not exist</t>
  </si>
  <si>
    <t>MFIs do not generally offer additional services</t>
  </si>
  <si>
    <t>Standards exist, but are weak</t>
  </si>
  <si>
    <t>MFIs generally offer only limited services beyond microcredit</t>
  </si>
  <si>
    <t>National standards are established but fall short of international best practices</t>
  </si>
  <si>
    <t>Modest and unevenly effective standards</t>
  </si>
  <si>
    <t>MFIs follow some of these practices, with modest results</t>
  </si>
  <si>
    <t>MFIs generally offer a modest range of services</t>
  </si>
  <si>
    <t>National standards are similar to or moving towards international standards</t>
  </si>
  <si>
    <t>Significant if imperfect standards exist in law and practice</t>
  </si>
  <si>
    <t>MFIs offer a wide range of services</t>
  </si>
  <si>
    <t>Excellent capacity</t>
  </si>
  <si>
    <t>Judicial system is solid, incorruptible and free of political influence</t>
  </si>
  <si>
    <t>Credit bureaus provide comprehensive information on the whole range of transactions and also include positive information about borrowers (on-time payment history, etc)</t>
  </si>
  <si>
    <t>Section</t>
  </si>
  <si>
    <t>Weight</t>
  </si>
  <si>
    <t>Weight %</t>
  </si>
  <si>
    <t>Weight Profile Names</t>
  </si>
  <si>
    <t>Default EIU</t>
  </si>
  <si>
    <t>User defined#3</t>
  </si>
  <si>
    <t>User defined#4</t>
  </si>
  <si>
    <t>Neutral weighting</t>
  </si>
  <si>
    <t>User defined#1</t>
  </si>
  <si>
    <t>User defined#2</t>
  </si>
  <si>
    <t>WP1</t>
  </si>
  <si>
    <t>WP2</t>
  </si>
  <si>
    <t>WP3</t>
  </si>
  <si>
    <t>WP4</t>
  </si>
  <si>
    <t>WP5</t>
  </si>
  <si>
    <t>WP6</t>
  </si>
  <si>
    <t>National standards exist but are weak and ineffective</t>
  </si>
  <si>
    <t>HC</t>
  </si>
  <si>
    <t>CityCode</t>
  </si>
  <si>
    <t>City</t>
  </si>
  <si>
    <t>DisplayStatus</t>
  </si>
  <si>
    <t>RankedStatus</t>
  </si>
  <si>
    <t>Rank</t>
  </si>
  <si>
    <t>CityID/Row</t>
  </si>
  <si>
    <t>DS</t>
  </si>
  <si>
    <t>RankShow</t>
  </si>
  <si>
    <t>Data</t>
  </si>
  <si>
    <t>Year</t>
  </si>
  <si>
    <t>Notes</t>
  </si>
  <si>
    <t>ROUND_TO</t>
  </si>
  <si>
    <t>BG_INDI_ID</t>
  </si>
  <si>
    <t>INDI_DD</t>
  </si>
  <si>
    <t>INDI_CODE</t>
  </si>
  <si>
    <t>DISPLAY MODE</t>
  </si>
  <si>
    <t>INDICATOR RANKING</t>
  </si>
  <si>
    <t>INDI_MAX</t>
  </si>
  <si>
    <t>LATIN AMERICA/CARIBBEAN</t>
  </si>
  <si>
    <t>MIDDLE EAST/NORTH AFRICA</t>
  </si>
  <si>
    <t>REGION_HILITE_DD</t>
  </si>
  <si>
    <t>BEST</t>
  </si>
  <si>
    <t>ALL 30 CITIES UNFILTERED</t>
  </si>
  <si>
    <t>SECTION RANKING</t>
  </si>
  <si>
    <t>SECTION</t>
  </si>
  <si>
    <t>SECTION_ID</t>
  </si>
  <si>
    <t>SECTION_CODE</t>
  </si>
  <si>
    <t>CORREL_X</t>
  </si>
  <si>
    <t>CORREL_Y</t>
  </si>
  <si>
    <t>SHOW_OUTLIERS</t>
  </si>
  <si>
    <t>SHOW_LABELS</t>
  </si>
  <si>
    <t>Active</t>
  </si>
  <si>
    <t>RegionHighlight</t>
  </si>
  <si>
    <t>X</t>
  </si>
  <si>
    <t>Y</t>
  </si>
  <si>
    <t>slope</t>
  </si>
  <si>
    <t>INTERCEPT</t>
  </si>
  <si>
    <t>CORREL</t>
  </si>
  <si>
    <t>ANTICIPATED (to get outliers)</t>
  </si>
  <si>
    <t>Anti-Y</t>
  </si>
  <si>
    <t>Diff</t>
  </si>
  <si>
    <t>NON_HIGHLIGHT</t>
  </si>
  <si>
    <t>remove if region highlight, or active country</t>
  </si>
  <si>
    <t>HIGHLIGHT REGION</t>
  </si>
  <si>
    <t>HIGHLIGHT REGION (LABELS)</t>
  </si>
  <si>
    <t>INDIVIDUAL COUNTRY</t>
  </si>
  <si>
    <t>MAX</t>
  </si>
  <si>
    <t>MIN</t>
  </si>
  <si>
    <t>OUTLIERS</t>
  </si>
  <si>
    <t>QUANT INDI</t>
  </si>
  <si>
    <t>Scatter</t>
  </si>
  <si>
    <t>X_INDI_DD</t>
  </si>
  <si>
    <t>X_INDI_ID</t>
  </si>
  <si>
    <t>Y_INDI_DD</t>
  </si>
  <si>
    <t>Y_INDI_ID</t>
  </si>
  <si>
    <t>COUNTRY2_ID</t>
  </si>
  <si>
    <t>disallows &lt;none&gt;</t>
  </si>
  <si>
    <t>ScoreRow</t>
  </si>
  <si>
    <t>TextRow</t>
  </si>
  <si>
    <t>COUNTRY PROFILE</t>
  </si>
  <si>
    <t>Regulatory framework</t>
  </si>
  <si>
    <t>Institutional development</t>
  </si>
  <si>
    <t>Score / 4</t>
  </si>
  <si>
    <t>NormalisationID</t>
  </si>
  <si>
    <t>Np1</t>
  </si>
  <si>
    <t>Np2</t>
  </si>
  <si>
    <t>X=QUANT, Q=QUAL</t>
  </si>
  <si>
    <t>Default weight</t>
  </si>
  <si>
    <t>Normalisation Text</t>
  </si>
  <si>
    <t>QuestionID</t>
  </si>
  <si>
    <t>Question</t>
  </si>
  <si>
    <t/>
  </si>
  <si>
    <t>SCATTER</t>
  </si>
  <si>
    <t>X-AXIS INDICATOR</t>
  </si>
  <si>
    <t>Y-AXIS INDICATOR</t>
  </si>
  <si>
    <t xml:space="preserve">Correlation coefficient: </t>
  </si>
  <si>
    <t>WEIGHTS</t>
  </si>
  <si>
    <t>SELECT WEIGHT PROFILE</t>
  </si>
  <si>
    <t>OVERALL SCORE</t>
  </si>
  <si>
    <t>COUNTRY COMPARISON</t>
  </si>
  <si>
    <t>Comparator</t>
  </si>
  <si>
    <t>COUNTRY1_ID</t>
  </si>
  <si>
    <t>&lt;disallow none&gt;</t>
  </si>
  <si>
    <t>&lt;allow none&gt;</t>
  </si>
  <si>
    <t>COUNTRY3_ID</t>
  </si>
  <si>
    <t>COUNTRY4_ID</t>
  </si>
  <si>
    <t>COUNTRY1_DD</t>
  </si>
  <si>
    <t>COUNTRY2_DD</t>
  </si>
  <si>
    <t>COUNTRY3_DD</t>
  </si>
  <si>
    <t>COUNTRY4_DD</t>
  </si>
  <si>
    <t>MatchRow</t>
  </si>
  <si>
    <t>REGULATORY FRAMEWORK</t>
  </si>
  <si>
    <t>INVESTMENT CLIMATE</t>
  </si>
  <si>
    <t>SELECT COUNTRIES</t>
  </si>
  <si>
    <t>COUNTRY INDICATORS</t>
  </si>
  <si>
    <t>Historic set</t>
  </si>
  <si>
    <t>HIST_COUNTRY_ID</t>
  </si>
  <si>
    <t>HIST_COUNTRY_ISO</t>
  </si>
  <si>
    <t>HIST_COUNTRY_DD</t>
  </si>
  <si>
    <t>HISTORIC</t>
  </si>
  <si>
    <t>Score Row</t>
  </si>
  <si>
    <t>HIST_COUNRY_ID</t>
  </si>
  <si>
    <t>HIST_COUNTRY</t>
  </si>
  <si>
    <t>SELECT COUNTRY</t>
  </si>
  <si>
    <t>Formation and operation of regulated, specialised MFIs</t>
  </si>
  <si>
    <t>Very high market concentration (HHI of 2601 and over)</t>
  </si>
  <si>
    <t>High market concentration (HHI of 1801-2600)</t>
  </si>
  <si>
    <t>Moderate market concentration (HHI of 1001-1800)</t>
  </si>
  <si>
    <t>Low market concentration (HHI of 501-1000)</t>
  </si>
  <si>
    <t>Very low market concentration (HHI of 0-500)</t>
  </si>
  <si>
    <t>COUNTRY HISTORY</t>
  </si>
  <si>
    <t>Score2009</t>
  </si>
  <si>
    <t>Score2008</t>
  </si>
  <si>
    <t>YoY</t>
  </si>
  <si>
    <t>SORT_SCORE_OR_YOY</t>
  </si>
  <si>
    <t>ToRank</t>
  </si>
  <si>
    <t>SORT_BY</t>
  </si>
  <si>
    <t>2009 Score</t>
  </si>
  <si>
    <t>YoY Change</t>
  </si>
  <si>
    <t>HILITED</t>
  </si>
  <si>
    <t>SORT BY</t>
  </si>
  <si>
    <t>COUNTRY, 2009 score and Year on Year</t>
  </si>
</sst>
</file>

<file path=xl/styles.xml><?xml version="1.0" encoding="utf-8"?>
<styleSheet xmlns="http://schemas.openxmlformats.org/spreadsheetml/2006/main">
  <numFmts count="8">
    <numFmt numFmtId="171" formatCode="_-* #,##0.00_-;\-* #,##0.00_-;_-* &quot;-&quot;??_-;_-@_-"/>
    <numFmt numFmtId="172" formatCode="0.000000"/>
    <numFmt numFmtId="174" formatCode="0.00000"/>
    <numFmt numFmtId="175" formatCode="0.0000"/>
    <numFmt numFmtId="176" formatCode="0.000"/>
    <numFmt numFmtId="177" formatCode="0.0"/>
    <numFmt numFmtId="178" formatCode="_-&quot;€&quot;\ * #,##0.00_-;\-&quot;€&quot;\ * #,##0.00_-;_-&quot;€&quot;\ * &quot;-&quot;??_-;_-@_-"/>
    <numFmt numFmtId="180" formatCode="#,##0.000"/>
  </numFmts>
  <fonts count="70">
    <font>
      <sz val="10"/>
      <name val="Arial"/>
    </font>
    <font>
      <sz val="10"/>
      <name val="Arial"/>
    </font>
    <font>
      <sz val="10"/>
      <name val="Arial"/>
      <family val="2"/>
    </font>
    <font>
      <b/>
      <sz val="10"/>
      <name val="Arial"/>
      <family val="2"/>
    </font>
    <font>
      <sz val="10"/>
      <name val="Arial"/>
      <family val="2"/>
    </font>
    <font>
      <i/>
      <sz val="10"/>
      <name val="Arial"/>
      <family val="2"/>
    </font>
    <font>
      <b/>
      <sz val="11"/>
      <color indexed="23"/>
      <name val="Calibri"/>
      <family val="2"/>
    </font>
    <font>
      <sz val="10"/>
      <color indexed="51"/>
      <name val="Arial"/>
      <family val="2"/>
    </font>
    <font>
      <sz val="9"/>
      <color indexed="55"/>
      <name val="Calibri"/>
      <family val="2"/>
    </font>
    <font>
      <b/>
      <sz val="14"/>
      <color indexed="52"/>
      <name val="Calibri"/>
      <family val="2"/>
    </font>
    <font>
      <sz val="8"/>
      <name val="Arial"/>
      <family val="2"/>
    </font>
    <font>
      <sz val="10"/>
      <color indexed="8"/>
      <name val="Calibri"/>
      <family val="2"/>
    </font>
    <font>
      <sz val="10"/>
      <name val="Calibri"/>
      <family val="2"/>
    </font>
    <font>
      <sz val="10"/>
      <color indexed="8"/>
      <name val="MS Sans Serif"/>
      <family val="2"/>
    </font>
    <font>
      <b/>
      <sz val="16"/>
      <color indexed="34"/>
      <name val="Calibri"/>
      <family val="2"/>
    </font>
    <font>
      <sz val="11"/>
      <color indexed="8"/>
      <name val="Calibri"/>
      <family val="2"/>
    </font>
    <font>
      <sz val="11"/>
      <color indexed="17"/>
      <name val="Calibri"/>
      <family val="2"/>
    </font>
    <font>
      <sz val="10"/>
      <color indexed="10"/>
      <name val="Arial"/>
      <family val="2"/>
    </font>
    <font>
      <b/>
      <sz val="9"/>
      <color indexed="8"/>
      <name val="Calibri"/>
      <family val="2"/>
    </font>
    <font>
      <sz val="10"/>
      <color indexed="17"/>
      <name val="Arial"/>
      <family val="2"/>
    </font>
    <font>
      <b/>
      <sz val="16"/>
      <color indexed="37"/>
      <name val="Calibri"/>
      <family val="2"/>
    </font>
    <font>
      <b/>
      <sz val="12"/>
      <color indexed="9"/>
      <name val="Arial"/>
      <family val="2"/>
    </font>
    <font>
      <i/>
      <sz val="11"/>
      <color indexed="55"/>
      <name val="Calibri"/>
      <family val="2"/>
    </font>
    <font>
      <b/>
      <sz val="10"/>
      <color indexed="9"/>
      <name val="Calibri"/>
      <family val="2"/>
    </font>
    <font>
      <sz val="10"/>
      <color indexed="23"/>
      <name val="Calibri"/>
      <family val="2"/>
    </font>
    <font>
      <sz val="8"/>
      <name val="Verdana"/>
      <family val="2"/>
    </font>
    <font>
      <sz val="8"/>
      <name val="Arial"/>
      <family val="2"/>
    </font>
    <font>
      <sz val="10"/>
      <color indexed="10"/>
      <name val="Arial"/>
      <family val="2"/>
    </font>
    <font>
      <sz val="8"/>
      <name val="Calibri"/>
      <family val="2"/>
    </font>
    <font>
      <sz val="9"/>
      <name val="Calibri"/>
      <family val="2"/>
    </font>
    <font>
      <sz val="10"/>
      <name val="Calibri"/>
      <family val="2"/>
    </font>
    <font>
      <sz val="14"/>
      <color indexed="8"/>
      <name val="Calibri"/>
      <family val="2"/>
    </font>
    <font>
      <sz val="10"/>
      <name val="Calibri"/>
      <family val="2"/>
    </font>
    <font>
      <sz val="10"/>
      <color indexed="13"/>
      <name val="Arial"/>
      <family val="2"/>
    </font>
    <font>
      <sz val="8"/>
      <name val="Calibri"/>
      <family val="2"/>
    </font>
    <font>
      <b/>
      <sz val="10"/>
      <name val="Calibri"/>
      <family val="2"/>
    </font>
    <font>
      <sz val="10"/>
      <color indexed="9"/>
      <name val="Calibri"/>
      <family val="2"/>
    </font>
    <font>
      <sz val="10"/>
      <color indexed="48"/>
      <name val="Calibri"/>
      <family val="2"/>
    </font>
    <font>
      <sz val="10"/>
      <color indexed="48"/>
      <name val="Arial"/>
      <family val="2"/>
    </font>
    <font>
      <sz val="8"/>
      <name val="Tahoma"/>
      <family val="2"/>
    </font>
    <font>
      <sz val="11"/>
      <name val="Calibri"/>
      <family val="2"/>
    </font>
    <font>
      <sz val="11"/>
      <color indexed="52"/>
      <name val="Calibri"/>
      <family val="2"/>
    </font>
    <font>
      <sz val="10"/>
      <name val="Calibri"/>
      <family val="2"/>
    </font>
    <font>
      <sz val="10"/>
      <color indexed="22"/>
      <name val="Calibri"/>
      <family val="2"/>
    </font>
    <font>
      <sz val="11"/>
      <name val="Calibri"/>
      <family val="2"/>
    </font>
    <font>
      <sz val="12"/>
      <color indexed="62"/>
      <name val="Calibri"/>
      <family val="2"/>
    </font>
    <font>
      <sz val="11"/>
      <color indexed="23"/>
      <name val="Calibri"/>
      <family val="2"/>
    </font>
    <font>
      <b/>
      <sz val="16"/>
      <color indexed="52"/>
      <name val="Calibri"/>
      <family val="2"/>
    </font>
    <font>
      <sz val="16"/>
      <name val="Arial"/>
      <family val="2"/>
    </font>
    <font>
      <sz val="10"/>
      <color indexed="23"/>
      <name val="Calibri"/>
      <family val="2"/>
    </font>
    <font>
      <sz val="10"/>
      <color indexed="55"/>
      <name val="Calibri"/>
      <family val="2"/>
    </font>
    <font>
      <sz val="10"/>
      <color indexed="10"/>
      <name val="Arial"/>
      <family val="2"/>
    </font>
    <font>
      <b/>
      <sz val="16"/>
      <color indexed="46"/>
      <name val="Calibri"/>
      <family val="2"/>
    </font>
    <font>
      <b/>
      <sz val="16"/>
      <color indexed="9"/>
      <name val="Calibri"/>
      <family val="2"/>
    </font>
    <font>
      <sz val="14"/>
      <color indexed="46"/>
      <name val="Calibri"/>
      <family val="2"/>
    </font>
    <font>
      <b/>
      <sz val="16"/>
      <color indexed="8"/>
      <name val="Calibri"/>
      <family val="2"/>
    </font>
    <font>
      <sz val="10"/>
      <color indexed="46"/>
      <name val="Calibri"/>
      <family val="2"/>
    </font>
    <font>
      <b/>
      <sz val="10"/>
      <color indexed="46"/>
      <name val="Calibri"/>
      <family val="2"/>
    </font>
    <font>
      <b/>
      <sz val="8"/>
      <color indexed="8"/>
      <name val="Calibri"/>
      <family val="2"/>
    </font>
    <font>
      <b/>
      <sz val="11"/>
      <color indexed="40"/>
      <name val="Calibri"/>
      <family val="2"/>
    </font>
    <font>
      <b/>
      <sz val="11"/>
      <name val="Calibri"/>
      <family val="2"/>
    </font>
    <font>
      <sz val="8"/>
      <color indexed="10"/>
      <name val="Calibri"/>
      <family val="2"/>
    </font>
    <font>
      <sz val="10"/>
      <color indexed="10"/>
      <name val="Arial"/>
      <family val="2"/>
    </font>
    <font>
      <sz val="8"/>
      <name val="Arial"/>
      <family val="2"/>
    </font>
    <font>
      <sz val="10"/>
      <color indexed="62"/>
      <name val="Calibri"/>
      <family val="2"/>
    </font>
    <font>
      <b/>
      <sz val="12"/>
      <name val="Arial"/>
      <family val="2"/>
    </font>
    <font>
      <b/>
      <sz val="9"/>
      <color indexed="9"/>
      <name val="Arial"/>
      <family val="2"/>
    </font>
    <font>
      <sz val="10"/>
      <name val="Verdana"/>
      <family val="2"/>
    </font>
    <font>
      <sz val="8"/>
      <name val="Arial"/>
    </font>
    <font>
      <sz val="11"/>
      <color theme="1"/>
      <name val="Calibri"/>
      <family val="2"/>
      <scheme val="minor"/>
    </font>
  </fonts>
  <fills count="16">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indexed="37"/>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45"/>
        <bgColor indexed="64"/>
      </patternFill>
    </fill>
    <fill>
      <patternFill patternType="solid">
        <fgColor indexed="31"/>
        <bgColor indexed="64"/>
      </patternFill>
    </fill>
    <fill>
      <patternFill patternType="solid">
        <fgColor indexed="16"/>
        <bgColor indexed="64"/>
      </patternFill>
    </fill>
    <fill>
      <patternFill patternType="solid">
        <fgColor indexed="44"/>
        <bgColor indexed="64"/>
      </patternFill>
    </fill>
    <fill>
      <patternFill patternType="solid">
        <fgColor indexed="11"/>
        <bgColor indexed="64"/>
      </patternFill>
    </fill>
    <fill>
      <patternFill patternType="solid">
        <fgColor indexed="9"/>
        <bgColor indexed="64"/>
      </patternFill>
    </fill>
  </fills>
  <borders count="17">
    <border>
      <left/>
      <right/>
      <top/>
      <bottom/>
      <diagonal/>
    </border>
    <border>
      <left/>
      <right/>
      <top/>
      <bottom style="thin">
        <color indexed="9"/>
      </bottom>
      <diagonal/>
    </border>
    <border>
      <left/>
      <right style="thin">
        <color indexed="55"/>
      </right>
      <top/>
      <bottom style="thin">
        <color indexed="9"/>
      </bottom>
      <diagonal/>
    </border>
    <border>
      <left/>
      <right style="thin">
        <color indexed="55"/>
      </right>
      <top/>
      <bottom/>
      <diagonal/>
    </border>
    <border>
      <left/>
      <right/>
      <top/>
      <bottom style="thin">
        <color indexed="55"/>
      </bottom>
      <diagonal/>
    </border>
    <border>
      <left/>
      <right style="thin">
        <color indexed="55"/>
      </right>
      <top/>
      <bottom style="thin">
        <color indexed="55"/>
      </bottom>
      <diagonal/>
    </border>
    <border>
      <left/>
      <right/>
      <top/>
      <bottom style="thin">
        <color indexed="22"/>
      </bottom>
      <diagonal/>
    </border>
    <border>
      <left/>
      <right/>
      <top style="thin">
        <color indexed="22"/>
      </top>
      <bottom style="thin">
        <color indexed="22"/>
      </bottom>
      <diagonal/>
    </border>
    <border>
      <left/>
      <right/>
      <top style="thin">
        <color indexed="22"/>
      </top>
      <bottom/>
      <diagonal/>
    </border>
    <border>
      <left/>
      <right/>
      <top style="thin">
        <color indexed="60"/>
      </top>
      <bottom style="thin">
        <color indexed="60"/>
      </bottom>
      <diagonal/>
    </border>
    <border>
      <left style="thin">
        <color indexed="45"/>
      </left>
      <right/>
      <top style="thin">
        <color indexed="45"/>
      </top>
      <bottom style="thin">
        <color indexed="45"/>
      </bottom>
      <diagonal/>
    </border>
    <border>
      <left/>
      <right/>
      <top style="thin">
        <color indexed="45"/>
      </top>
      <bottom style="thin">
        <color indexed="45"/>
      </bottom>
      <diagonal/>
    </border>
    <border>
      <left/>
      <right style="thin">
        <color indexed="45"/>
      </right>
      <top style="thin">
        <color indexed="45"/>
      </top>
      <bottom style="thin">
        <color indexed="45"/>
      </bottom>
      <diagonal/>
    </border>
    <border>
      <left style="thin">
        <color indexed="60"/>
      </left>
      <right/>
      <top style="thin">
        <color indexed="60"/>
      </top>
      <bottom style="thin">
        <color indexed="60"/>
      </bottom>
      <diagonal/>
    </border>
    <border>
      <left/>
      <right style="thin">
        <color indexed="60"/>
      </right>
      <top style="thin">
        <color indexed="60"/>
      </top>
      <bottom style="thin">
        <color indexed="60"/>
      </bottom>
      <diagonal/>
    </border>
    <border>
      <left/>
      <right/>
      <top/>
      <bottom style="thin">
        <color indexed="60"/>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4" fillId="0" borderId="0"/>
    <xf numFmtId="0" fontId="13" fillId="0" borderId="0"/>
    <xf numFmtId="171" fontId="4" fillId="0" borderId="0" applyFont="0" applyFill="0" applyBorder="0" applyAlignment="0" applyProtection="0"/>
    <xf numFmtId="178" fontId="4" fillId="0" borderId="0" applyFont="0" applyFill="0" applyBorder="0" applyAlignment="0" applyProtection="0"/>
    <xf numFmtId="0" fontId="4" fillId="0" borderId="0"/>
    <xf numFmtId="0" fontId="69" fillId="0" borderId="0"/>
    <xf numFmtId="0" fontId="13" fillId="0" borderId="0"/>
    <xf numFmtId="0" fontId="13" fillId="0" borderId="0"/>
    <xf numFmtId="9" fontId="1" fillId="0" borderId="0" applyFont="0" applyFill="0" applyBorder="0" applyAlignment="0" applyProtection="0"/>
    <xf numFmtId="9" fontId="4" fillId="0" borderId="0" applyFont="0" applyFill="0" applyBorder="0" applyAlignment="0" applyProtection="0"/>
  </cellStyleXfs>
  <cellXfs count="224">
    <xf numFmtId="0" fontId="0" fillId="0" borderId="0" xfId="0"/>
    <xf numFmtId="0" fontId="3" fillId="0" borderId="0" xfId="0" applyFont="1"/>
    <xf numFmtId="0" fontId="3" fillId="0" borderId="0" xfId="0" applyFont="1" applyAlignment="1">
      <alignment horizontal="left"/>
    </xf>
    <xf numFmtId="0" fontId="0" fillId="0" borderId="0" xfId="0" applyAlignment="1">
      <alignment horizontal="left"/>
    </xf>
    <xf numFmtId="0" fontId="4" fillId="0" borderId="0" xfId="0" applyFont="1"/>
    <xf numFmtId="0" fontId="0" fillId="2" borderId="0" xfId="0" applyFill="1"/>
    <xf numFmtId="0" fontId="0" fillId="0" borderId="0" xfId="0" applyFill="1"/>
    <xf numFmtId="0" fontId="4" fillId="2" borderId="0" xfId="0" applyFont="1" applyFill="1"/>
    <xf numFmtId="0" fontId="0" fillId="3" borderId="0" xfId="0" applyFill="1"/>
    <xf numFmtId="0" fontId="5" fillId="0" borderId="0" xfId="0" applyFont="1"/>
    <xf numFmtId="0" fontId="4" fillId="0" borderId="0" xfId="0" quotePrefix="1" applyFont="1"/>
    <xf numFmtId="0" fontId="0" fillId="4" borderId="0" xfId="0" applyFill="1" applyAlignment="1">
      <alignment horizontal="left"/>
    </xf>
    <xf numFmtId="0" fontId="0" fillId="4" borderId="0" xfId="0" applyFill="1"/>
    <xf numFmtId="0" fontId="4" fillId="4" borderId="0" xfId="0" applyFont="1" applyFill="1"/>
    <xf numFmtId="0" fontId="6" fillId="0" borderId="0" xfId="0" applyFont="1"/>
    <xf numFmtId="0" fontId="7" fillId="0" borderId="0" xfId="0" applyFont="1"/>
    <xf numFmtId="2" fontId="4" fillId="0" borderId="0" xfId="0" applyNumberFormat="1" applyFont="1"/>
    <xf numFmtId="0" fontId="0" fillId="2" borderId="0" xfId="0" applyFill="1" applyAlignment="1"/>
    <xf numFmtId="0" fontId="0" fillId="5" borderId="0" xfId="0" applyFill="1"/>
    <xf numFmtId="177" fontId="0" fillId="0" borderId="0" xfId="0" applyNumberFormat="1"/>
    <xf numFmtId="177" fontId="0" fillId="5" borderId="0" xfId="0" applyNumberFormat="1" applyFill="1"/>
    <xf numFmtId="0" fontId="3" fillId="0" borderId="0" xfId="0" applyFont="1" applyAlignment="1">
      <alignment horizontal="right"/>
    </xf>
    <xf numFmtId="0" fontId="8" fillId="0" borderId="0" xfId="0" applyFont="1"/>
    <xf numFmtId="0" fontId="11" fillId="0" borderId="0" xfId="0" applyFont="1"/>
    <xf numFmtId="0" fontId="14" fillId="6" borderId="1" xfId="8" applyFont="1" applyFill="1" applyBorder="1" applyAlignment="1" applyProtection="1">
      <alignment horizontal="left" vertical="center" indent="2"/>
      <protection locked="0"/>
    </xf>
    <xf numFmtId="0" fontId="14" fillId="6" borderId="2" xfId="8" applyFont="1" applyFill="1" applyBorder="1" applyAlignment="1" applyProtection="1">
      <alignment horizontal="left" vertical="center" indent="2"/>
      <protection locked="0"/>
    </xf>
    <xf numFmtId="0" fontId="0" fillId="7" borderId="0" xfId="0" applyFill="1"/>
    <xf numFmtId="0" fontId="0" fillId="7" borderId="3" xfId="0" applyFill="1" applyBorder="1"/>
    <xf numFmtId="0" fontId="0" fillId="7" borderId="4" xfId="0" applyFill="1" applyBorder="1"/>
    <xf numFmtId="0" fontId="0" fillId="7" borderId="5" xfId="0" applyFill="1" applyBorder="1"/>
    <xf numFmtId="0" fontId="0" fillId="8" borderId="0" xfId="0" applyFill="1"/>
    <xf numFmtId="0" fontId="27" fillId="0" borderId="0" xfId="0" applyFont="1"/>
    <xf numFmtId="0" fontId="11" fillId="0" borderId="0" xfId="0" applyFont="1" applyFill="1" applyAlignment="1">
      <alignment horizontal="left" vertical="top" wrapText="1"/>
    </xf>
    <xf numFmtId="0" fontId="28" fillId="7" borderId="0" xfId="0" applyFont="1" applyFill="1" applyAlignment="1">
      <alignment vertical="top"/>
    </xf>
    <xf numFmtId="0" fontId="28" fillId="7" borderId="0" xfId="0" applyFont="1" applyFill="1"/>
    <xf numFmtId="0" fontId="16" fillId="0" borderId="6" xfId="0" applyFont="1" applyBorder="1"/>
    <xf numFmtId="0" fontId="0" fillId="0" borderId="6" xfId="0" applyBorder="1"/>
    <xf numFmtId="0" fontId="0" fillId="0" borderId="7" xfId="0" applyBorder="1"/>
    <xf numFmtId="0" fontId="0" fillId="0" borderId="8" xfId="0" applyBorder="1"/>
    <xf numFmtId="0" fontId="16" fillId="0" borderId="0" xfId="0" applyFont="1"/>
    <xf numFmtId="0" fontId="15" fillId="0" borderId="0" xfId="0" applyFont="1" applyBorder="1"/>
    <xf numFmtId="0" fontId="4" fillId="0" borderId="0" xfId="0" applyFont="1" applyBorder="1"/>
    <xf numFmtId="0" fontId="15" fillId="0" borderId="0" xfId="0" applyFont="1" applyFill="1" applyBorder="1"/>
    <xf numFmtId="10" fontId="29" fillId="0" borderId="7" xfId="0" applyNumberFormat="1" applyFont="1" applyBorder="1"/>
    <xf numFmtId="0" fontId="4" fillId="0" borderId="0" xfId="0" applyFont="1" applyFill="1" applyBorder="1"/>
    <xf numFmtId="0" fontId="18" fillId="0" borderId="0" xfId="0" applyFont="1" applyBorder="1"/>
    <xf numFmtId="0" fontId="30" fillId="0" borderId="7" xfId="0" applyFont="1" applyBorder="1"/>
    <xf numFmtId="10" fontId="29" fillId="0" borderId="8" xfId="0" applyNumberFormat="1" applyFont="1" applyBorder="1"/>
    <xf numFmtId="10" fontId="29" fillId="0" borderId="6" xfId="0" applyNumberFormat="1" applyFont="1" applyBorder="1"/>
    <xf numFmtId="0" fontId="0" fillId="0" borderId="0" xfId="0" applyBorder="1"/>
    <xf numFmtId="10" fontId="29" fillId="0" borderId="0" xfId="0" applyNumberFormat="1" applyFont="1" applyBorder="1"/>
    <xf numFmtId="0" fontId="0" fillId="9" borderId="6" xfId="0" applyFill="1" applyBorder="1"/>
    <xf numFmtId="0" fontId="30" fillId="0" borderId="7" xfId="0" applyFont="1" applyBorder="1" applyAlignment="1">
      <alignment horizontal="left" indent="1"/>
    </xf>
    <xf numFmtId="0" fontId="14" fillId="6" borderId="1" xfId="8" applyFont="1" applyFill="1" applyBorder="1" applyAlignment="1" applyProtection="1">
      <alignment horizontal="left" vertical="center" indent="1"/>
      <protection locked="0"/>
    </xf>
    <xf numFmtId="0" fontId="19" fillId="0" borderId="0" xfId="1" applyFont="1" applyFill="1" applyAlignment="1">
      <alignment horizontal="right"/>
    </xf>
    <xf numFmtId="0" fontId="19" fillId="0" borderId="0" xfId="1" applyFont="1" applyFill="1" applyAlignment="1">
      <alignment horizontal="left"/>
    </xf>
    <xf numFmtId="1" fontId="0" fillId="0" borderId="0" xfId="0" applyNumberFormat="1" applyAlignment="1"/>
    <xf numFmtId="0" fontId="0" fillId="0" borderId="0" xfId="0" applyAlignment="1"/>
    <xf numFmtId="0" fontId="0" fillId="3" borderId="0" xfId="0" applyFill="1" applyAlignment="1"/>
    <xf numFmtId="0" fontId="0" fillId="0" borderId="0" xfId="0" applyAlignment="1">
      <alignment horizontal="right"/>
    </xf>
    <xf numFmtId="2" fontId="0" fillId="0" borderId="0" xfId="0" applyNumberFormat="1"/>
    <xf numFmtId="0" fontId="69" fillId="0" borderId="0" xfId="6"/>
    <xf numFmtId="0" fontId="9" fillId="0" borderId="0" xfId="5" applyFont="1" applyAlignment="1"/>
    <xf numFmtId="0" fontId="20" fillId="0" borderId="1" xfId="8" applyFont="1" applyFill="1" applyBorder="1" applyAlignment="1" applyProtection="1">
      <alignment horizontal="left" vertical="center" indent="2"/>
      <protection locked="0"/>
    </xf>
    <xf numFmtId="0" fontId="21" fillId="7" borderId="0" xfId="8" applyFont="1" applyFill="1" applyBorder="1" applyAlignment="1" applyProtection="1">
      <alignment horizontal="left" vertical="center" indent="2"/>
      <protection locked="0"/>
    </xf>
    <xf numFmtId="0" fontId="21" fillId="7" borderId="3" xfId="8" applyFont="1" applyFill="1" applyBorder="1" applyAlignment="1" applyProtection="1">
      <alignment horizontal="left" vertical="center" indent="2"/>
      <protection locked="0"/>
    </xf>
    <xf numFmtId="0" fontId="22" fillId="0" borderId="0" xfId="6" applyFont="1"/>
    <xf numFmtId="0" fontId="69" fillId="7" borderId="3" xfId="6" applyFill="1" applyBorder="1"/>
    <xf numFmtId="0" fontId="12" fillId="0" borderId="0" xfId="6" applyFont="1"/>
    <xf numFmtId="0" fontId="17" fillId="0" borderId="0" xfId="6" applyFont="1"/>
    <xf numFmtId="0" fontId="24" fillId="7" borderId="1" xfId="8" applyFont="1" applyFill="1" applyBorder="1" applyAlignment="1" applyProtection="1">
      <alignment horizontal="right" vertical="center"/>
      <protection locked="0"/>
    </xf>
    <xf numFmtId="0" fontId="12" fillId="7" borderId="1" xfId="8" applyFont="1" applyFill="1" applyBorder="1" applyAlignment="1" applyProtection="1">
      <alignment horizontal="right" vertical="center"/>
      <protection locked="0"/>
    </xf>
    <xf numFmtId="177" fontId="25" fillId="7" borderId="1" xfId="8" applyNumberFormat="1" applyFont="1" applyFill="1" applyBorder="1" applyAlignment="1" applyProtection="1">
      <alignment horizontal="right" vertical="center"/>
      <protection locked="0"/>
    </xf>
    <xf numFmtId="177" fontId="26" fillId="7" borderId="1" xfId="8" applyNumberFormat="1" applyFont="1" applyFill="1" applyBorder="1" applyAlignment="1" applyProtection="1">
      <alignment horizontal="left" vertical="center"/>
      <protection locked="0"/>
    </xf>
    <xf numFmtId="0" fontId="21" fillId="7" borderId="4" xfId="8" applyFont="1" applyFill="1" applyBorder="1" applyAlignment="1" applyProtection="1">
      <alignment horizontal="left" vertical="center" indent="2"/>
      <protection locked="0"/>
    </xf>
    <xf numFmtId="0" fontId="69" fillId="7" borderId="5" xfId="6" applyFill="1" applyBorder="1"/>
    <xf numFmtId="0" fontId="0" fillId="10" borderId="0" xfId="0" applyFill="1"/>
    <xf numFmtId="0" fontId="16" fillId="11" borderId="0" xfId="0" applyFont="1" applyFill="1"/>
    <xf numFmtId="0" fontId="19" fillId="11" borderId="0" xfId="1" applyFont="1" applyFill="1" applyAlignment="1">
      <alignment horizontal="right"/>
    </xf>
    <xf numFmtId="0" fontId="19" fillId="5" borderId="0" xfId="1" applyFont="1" applyFill="1" applyAlignment="1">
      <alignment horizontal="right"/>
    </xf>
    <xf numFmtId="1" fontId="0" fillId="5" borderId="0" xfId="0" applyNumberFormat="1" applyFill="1" applyAlignment="1"/>
    <xf numFmtId="0" fontId="0" fillId="5" borderId="0" xfId="0" applyFill="1" applyAlignment="1"/>
    <xf numFmtId="0" fontId="0" fillId="5" borderId="0" xfId="0" applyFill="1" applyAlignment="1">
      <alignment horizontal="right"/>
    </xf>
    <xf numFmtId="2" fontId="0" fillId="5" borderId="0" xfId="0" applyNumberFormat="1" applyFill="1"/>
    <xf numFmtId="0" fontId="31" fillId="0" borderId="0" xfId="0" applyFont="1" applyAlignment="1">
      <alignment horizontal="right"/>
    </xf>
    <xf numFmtId="0" fontId="31" fillId="12" borderId="0" xfId="0" applyFont="1" applyFill="1" applyAlignment="1">
      <alignment horizontal="right"/>
    </xf>
    <xf numFmtId="0" fontId="11" fillId="12" borderId="0" xfId="0" applyFont="1" applyFill="1" applyAlignment="1">
      <alignment horizontal="right"/>
    </xf>
    <xf numFmtId="0" fontId="11" fillId="12" borderId="0" xfId="0" applyFont="1" applyFill="1" applyAlignment="1">
      <alignment horizontal="left"/>
    </xf>
    <xf numFmtId="0" fontId="0" fillId="0" borderId="9" xfId="0" applyBorder="1"/>
    <xf numFmtId="0" fontId="32" fillId="0" borderId="9" xfId="0" applyFont="1" applyBorder="1"/>
    <xf numFmtId="0" fontId="32" fillId="0" borderId="0" xfId="0" applyFont="1"/>
    <xf numFmtId="177" fontId="0" fillId="0" borderId="9" xfId="0" applyNumberFormat="1" applyBorder="1"/>
    <xf numFmtId="0" fontId="4" fillId="0" borderId="0" xfId="5" applyAlignment="1"/>
    <xf numFmtId="0" fontId="4" fillId="0" borderId="0" xfId="5" applyFont="1" applyAlignment="1"/>
    <xf numFmtId="0" fontId="33" fillId="0" borderId="0" xfId="5" applyFont="1" applyAlignment="1"/>
    <xf numFmtId="0" fontId="33" fillId="0" borderId="0" xfId="5" applyFont="1" applyAlignment="1">
      <alignment horizontal="right"/>
    </xf>
    <xf numFmtId="0" fontId="17" fillId="0" borderId="0" xfId="5" applyFont="1" applyAlignment="1">
      <alignment horizontal="right"/>
    </xf>
    <xf numFmtId="0" fontId="17" fillId="0" borderId="0" xfId="5" applyFont="1" applyAlignment="1"/>
    <xf numFmtId="0" fontId="3" fillId="0" borderId="0" xfId="5" applyFont="1" applyAlignment="1"/>
    <xf numFmtId="0" fontId="4" fillId="0" borderId="0" xfId="5" applyAlignment="1">
      <alignment horizontal="right"/>
    </xf>
    <xf numFmtId="0" fontId="34" fillId="0" borderId="0" xfId="0" applyFont="1" applyAlignment="1">
      <alignment horizontal="right"/>
    </xf>
    <xf numFmtId="0" fontId="36" fillId="0" borderId="0" xfId="0" applyFont="1"/>
    <xf numFmtId="0" fontId="40" fillId="0" borderId="0" xfId="0" applyFont="1"/>
    <xf numFmtId="0" fontId="41" fillId="0" borderId="0" xfId="0" applyFont="1"/>
    <xf numFmtId="0" fontId="42" fillId="0" borderId="0" xfId="0" applyFont="1"/>
    <xf numFmtId="176" fontId="42" fillId="0" borderId="0" xfId="0" applyNumberFormat="1" applyFont="1" applyAlignment="1">
      <alignment horizontal="left"/>
    </xf>
    <xf numFmtId="0" fontId="43" fillId="0" borderId="0" xfId="0" applyFont="1"/>
    <xf numFmtId="0" fontId="44" fillId="7" borderId="3" xfId="0" applyFont="1" applyFill="1" applyBorder="1" applyAlignment="1">
      <alignment horizontal="left" vertical="center" indent="1"/>
    </xf>
    <xf numFmtId="0" fontId="32" fillId="0" borderId="9" xfId="0" applyFont="1" applyBorder="1" applyAlignment="1">
      <alignment horizontal="left" vertical="center"/>
    </xf>
    <xf numFmtId="0" fontId="32" fillId="0" borderId="9" xfId="0" applyFont="1" applyBorder="1" applyAlignment="1">
      <alignment horizontal="left" vertical="center" wrapText="1"/>
    </xf>
    <xf numFmtId="177" fontId="45" fillId="0" borderId="9" xfId="0" applyNumberFormat="1" applyFont="1" applyBorder="1" applyAlignment="1">
      <alignment vertical="center"/>
    </xf>
    <xf numFmtId="177" fontId="0" fillId="0" borderId="0" xfId="0" applyNumberFormat="1" applyBorder="1"/>
    <xf numFmtId="0" fontId="46" fillId="0" borderId="0" xfId="0" applyFont="1" applyBorder="1"/>
    <xf numFmtId="0" fontId="12" fillId="7" borderId="0" xfId="0" applyFont="1" applyFill="1" applyAlignment="1">
      <alignment vertical="top"/>
    </xf>
    <xf numFmtId="0" fontId="12" fillId="0" borderId="9" xfId="0" applyFont="1" applyBorder="1"/>
    <xf numFmtId="177" fontId="12" fillId="0" borderId="9" xfId="0" applyNumberFormat="1" applyFont="1" applyBorder="1"/>
    <xf numFmtId="10" fontId="0" fillId="0" borderId="0" xfId="0" applyNumberFormat="1"/>
    <xf numFmtId="0" fontId="50" fillId="0" borderId="9" xfId="0" applyFont="1" applyBorder="1" applyAlignment="1">
      <alignment horizontal="right"/>
    </xf>
    <xf numFmtId="0" fontId="2" fillId="0" borderId="0" xfId="0" applyFont="1"/>
    <xf numFmtId="0" fontId="51" fillId="0" borderId="0" xfId="0" applyFont="1"/>
    <xf numFmtId="0" fontId="52" fillId="13" borderId="1" xfId="8" applyFont="1" applyFill="1" applyBorder="1" applyAlignment="1" applyProtection="1">
      <alignment horizontal="left" vertical="center" indent="2"/>
      <protection locked="0"/>
    </xf>
    <xf numFmtId="0" fontId="14" fillId="13" borderId="2" xfId="8" applyFont="1" applyFill="1" applyBorder="1" applyAlignment="1" applyProtection="1">
      <alignment horizontal="left" vertical="center" indent="2"/>
      <protection locked="0"/>
    </xf>
    <xf numFmtId="0" fontId="55" fillId="13" borderId="1" xfId="8" applyFont="1" applyFill="1" applyBorder="1" applyAlignment="1" applyProtection="1">
      <alignment horizontal="left" vertical="center" indent="2"/>
      <protection locked="0"/>
    </xf>
    <xf numFmtId="0" fontId="52" fillId="13" borderId="1" xfId="8" applyFont="1" applyFill="1" applyBorder="1" applyAlignment="1" applyProtection="1">
      <alignment horizontal="left" vertical="center" indent="1"/>
      <protection locked="0"/>
    </xf>
    <xf numFmtId="0" fontId="54" fillId="13" borderId="0" xfId="0" applyFont="1" applyFill="1" applyAlignment="1">
      <alignment horizontal="left"/>
    </xf>
    <xf numFmtId="0" fontId="31" fillId="13" borderId="0" xfId="0" applyFont="1" applyFill="1" applyAlignment="1">
      <alignment horizontal="right"/>
    </xf>
    <xf numFmtId="0" fontId="11" fillId="13" borderId="0" xfId="0" applyFont="1" applyFill="1" applyAlignment="1">
      <alignment horizontal="right"/>
    </xf>
    <xf numFmtId="0" fontId="49" fillId="7" borderId="9" xfId="0" applyFont="1" applyFill="1" applyBorder="1" applyAlignment="1">
      <alignment horizontal="right"/>
    </xf>
    <xf numFmtId="0" fontId="12" fillId="7" borderId="9" xfId="0" applyFont="1" applyFill="1" applyBorder="1"/>
    <xf numFmtId="177" fontId="12" fillId="7" borderId="9" xfId="0" applyNumberFormat="1" applyFont="1" applyFill="1" applyBorder="1"/>
    <xf numFmtId="0" fontId="56" fillId="13" borderId="0" xfId="0" applyFont="1" applyFill="1" applyAlignment="1">
      <alignment horizontal="left"/>
    </xf>
    <xf numFmtId="0" fontId="56" fillId="13" borderId="0" xfId="0" applyFont="1" applyFill="1" applyAlignment="1">
      <alignment horizontal="right"/>
    </xf>
    <xf numFmtId="0" fontId="0" fillId="13" borderId="0" xfId="0" applyFill="1"/>
    <xf numFmtId="0" fontId="31" fillId="14" borderId="0" xfId="0" applyFont="1" applyFill="1" applyAlignment="1">
      <alignment horizontal="left"/>
    </xf>
    <xf numFmtId="0" fontId="31" fillId="14" borderId="0" xfId="0" applyFont="1" applyFill="1" applyAlignment="1">
      <alignment horizontal="right"/>
    </xf>
    <xf numFmtId="0" fontId="11" fillId="14" borderId="0" xfId="0" applyFont="1" applyFill="1" applyAlignment="1">
      <alignment horizontal="right"/>
    </xf>
    <xf numFmtId="0" fontId="11" fillId="14" borderId="0" xfId="0" applyFont="1" applyFill="1" applyAlignment="1">
      <alignment horizontal="left"/>
    </xf>
    <xf numFmtId="0" fontId="0" fillId="14" borderId="0" xfId="0" applyFill="1"/>
    <xf numFmtId="0" fontId="52" fillId="13" borderId="2" xfId="8" applyFont="1" applyFill="1" applyBorder="1" applyAlignment="1" applyProtection="1">
      <alignment horizontal="left" vertical="center" indent="2"/>
      <protection locked="0"/>
    </xf>
    <xf numFmtId="0" fontId="11" fillId="13" borderId="0" xfId="0" applyFont="1" applyFill="1" applyAlignment="1">
      <alignment horizontal="left" vertical="top" wrapText="1"/>
    </xf>
    <xf numFmtId="0" fontId="11" fillId="7" borderId="0" xfId="0" applyFont="1" applyFill="1"/>
    <xf numFmtId="0" fontId="57" fillId="13" borderId="10" xfId="6" applyFont="1" applyFill="1" applyBorder="1" applyAlignment="1">
      <alignment horizontal="left"/>
    </xf>
    <xf numFmtId="0" fontId="57" fillId="13" borderId="11" xfId="6" applyFont="1" applyFill="1" applyBorder="1" applyAlignment="1">
      <alignment horizontal="right"/>
    </xf>
    <xf numFmtId="0" fontId="57" fillId="13" borderId="12" xfId="6" applyFont="1" applyFill="1" applyBorder="1" applyAlignment="1">
      <alignment horizontal="right" vertical="center"/>
    </xf>
    <xf numFmtId="0" fontId="32" fillId="7" borderId="13" xfId="0" applyFont="1" applyFill="1" applyBorder="1" applyAlignment="1">
      <alignment horizontal="left" vertical="center"/>
    </xf>
    <xf numFmtId="177" fontId="45" fillId="7" borderId="9" xfId="0" applyNumberFormat="1" applyFont="1" applyFill="1" applyBorder="1" applyAlignment="1">
      <alignment vertical="center"/>
    </xf>
    <xf numFmtId="177" fontId="0" fillId="7" borderId="9" xfId="0" applyNumberFormat="1" applyFill="1" applyBorder="1" applyAlignment="1">
      <alignment vertical="center"/>
    </xf>
    <xf numFmtId="0" fontId="32" fillId="7" borderId="14" xfId="0" applyFont="1" applyFill="1" applyBorder="1" applyAlignment="1">
      <alignment horizontal="left" vertical="center" wrapText="1"/>
    </xf>
    <xf numFmtId="0" fontId="35" fillId="14" borderId="13" xfId="0" applyFont="1" applyFill="1" applyBorder="1"/>
    <xf numFmtId="0" fontId="0" fillId="14" borderId="9" xfId="0" applyFill="1" applyBorder="1"/>
    <xf numFmtId="0" fontId="0" fillId="14" borderId="14" xfId="0" applyFill="1" applyBorder="1"/>
    <xf numFmtId="177" fontId="0" fillId="7" borderId="9" xfId="0" applyNumberFormat="1" applyFill="1" applyBorder="1"/>
    <xf numFmtId="0" fontId="35" fillId="14" borderId="13" xfId="0" applyFont="1" applyFill="1" applyBorder="1" applyAlignment="1">
      <alignment horizontal="left" vertical="center"/>
    </xf>
    <xf numFmtId="177" fontId="45" fillId="14" borderId="9" xfId="0" applyNumberFormat="1" applyFont="1" applyFill="1" applyBorder="1" applyAlignment="1">
      <alignment vertical="center"/>
    </xf>
    <xf numFmtId="177" fontId="0" fillId="14" borderId="9" xfId="0" applyNumberFormat="1" applyFill="1" applyBorder="1"/>
    <xf numFmtId="0" fontId="32" fillId="14" borderId="14" xfId="0" applyFont="1" applyFill="1" applyBorder="1" applyAlignment="1">
      <alignment horizontal="left" vertical="center" wrapText="1"/>
    </xf>
    <xf numFmtId="0" fontId="57" fillId="13" borderId="0" xfId="0" applyFont="1" applyFill="1"/>
    <xf numFmtId="0" fontId="35" fillId="7" borderId="15" xfId="0" applyFont="1" applyFill="1" applyBorder="1"/>
    <xf numFmtId="177" fontId="35" fillId="7" borderId="15" xfId="0" applyNumberFormat="1" applyFont="1" applyFill="1" applyBorder="1"/>
    <xf numFmtId="0" fontId="32" fillId="7" borderId="9" xfId="0" applyFont="1" applyFill="1" applyBorder="1" applyAlignment="1">
      <alignment horizontal="left" indent="1"/>
    </xf>
    <xf numFmtId="177" fontId="32" fillId="7" borderId="9" xfId="0" applyNumberFormat="1" applyFont="1" applyFill="1" applyBorder="1"/>
    <xf numFmtId="0" fontId="35" fillId="7" borderId="9" xfId="0" applyFont="1" applyFill="1" applyBorder="1"/>
    <xf numFmtId="177" fontId="35" fillId="7" borderId="9" xfId="0" applyNumberFormat="1" applyFont="1" applyFill="1" applyBorder="1"/>
    <xf numFmtId="0" fontId="23" fillId="13" borderId="0" xfId="0" applyFont="1" applyFill="1"/>
    <xf numFmtId="177" fontId="23" fillId="13" borderId="0" xfId="0" applyNumberFormat="1" applyFont="1" applyFill="1" applyBorder="1"/>
    <xf numFmtId="0" fontId="58" fillId="13" borderId="0" xfId="0" applyFont="1" applyFill="1" applyAlignment="1">
      <alignment horizontal="right" wrapText="1"/>
    </xf>
    <xf numFmtId="0" fontId="53" fillId="13" borderId="1" xfId="8" applyFont="1" applyFill="1" applyBorder="1" applyAlignment="1" applyProtection="1">
      <alignment horizontal="left" vertical="center" indent="1"/>
      <protection locked="0"/>
    </xf>
    <xf numFmtId="0" fontId="36" fillId="13" borderId="6" xfId="0" applyFont="1" applyFill="1" applyBorder="1"/>
    <xf numFmtId="10" fontId="36" fillId="13" borderId="6" xfId="0" applyNumberFormat="1" applyFont="1" applyFill="1" applyBorder="1" applyAlignment="1">
      <alignment horizontal="right"/>
    </xf>
    <xf numFmtId="0" fontId="2" fillId="0" borderId="0" xfId="0" applyFont="1" applyAlignment="1"/>
    <xf numFmtId="174" fontId="0" fillId="0" borderId="0" xfId="0" applyNumberFormat="1"/>
    <xf numFmtId="172" fontId="0" fillId="0" borderId="0" xfId="0" applyNumberFormat="1"/>
    <xf numFmtId="1" fontId="57" fillId="13" borderId="0" xfId="0" applyNumberFormat="1" applyFont="1" applyFill="1" applyBorder="1"/>
    <xf numFmtId="0" fontId="57" fillId="0" borderId="0" xfId="0" applyFont="1" applyFill="1"/>
    <xf numFmtId="1" fontId="57" fillId="0" borderId="0" xfId="0" applyNumberFormat="1" applyFont="1" applyFill="1" applyBorder="1"/>
    <xf numFmtId="0" fontId="12" fillId="0" borderId="0" xfId="0" applyFont="1"/>
    <xf numFmtId="1" fontId="35" fillId="7" borderId="15" xfId="0" applyNumberFormat="1" applyFont="1" applyFill="1" applyBorder="1" applyAlignment="1">
      <alignment horizontal="right"/>
    </xf>
    <xf numFmtId="0" fontId="59" fillId="7" borderId="15" xfId="0" applyFont="1" applyFill="1" applyBorder="1"/>
    <xf numFmtId="177" fontId="59" fillId="7" borderId="15" xfId="0" applyNumberFormat="1" applyFont="1" applyFill="1" applyBorder="1" applyAlignment="1">
      <alignment horizontal="right"/>
    </xf>
    <xf numFmtId="0" fontId="60" fillId="7" borderId="15" xfId="0" applyFont="1" applyFill="1" applyBorder="1"/>
    <xf numFmtId="177" fontId="60" fillId="7" borderId="15" xfId="0" applyNumberFormat="1" applyFont="1" applyFill="1" applyBorder="1" applyAlignment="1">
      <alignment horizontal="right"/>
    </xf>
    <xf numFmtId="0" fontId="40" fillId="7" borderId="9" xfId="0" applyFont="1" applyFill="1" applyBorder="1" applyAlignment="1">
      <alignment horizontal="left" indent="1"/>
    </xf>
    <xf numFmtId="177" fontId="40" fillId="7" borderId="9" xfId="0" applyNumberFormat="1" applyFont="1" applyFill="1" applyBorder="1" applyAlignment="1">
      <alignment horizontal="right"/>
    </xf>
    <xf numFmtId="0" fontId="60" fillId="7" borderId="9" xfId="0" applyFont="1" applyFill="1" applyBorder="1"/>
    <xf numFmtId="177" fontId="60" fillId="7" borderId="9" xfId="0" applyNumberFormat="1" applyFont="1" applyFill="1" applyBorder="1" applyAlignment="1">
      <alignment horizontal="right"/>
    </xf>
    <xf numFmtId="177" fontId="60" fillId="7" borderId="9" xfId="0" applyNumberFormat="1" applyFont="1" applyFill="1" applyBorder="1"/>
    <xf numFmtId="177" fontId="61" fillId="7" borderId="15" xfId="0" applyNumberFormat="1" applyFont="1" applyFill="1" applyBorder="1"/>
    <xf numFmtId="177" fontId="61" fillId="7" borderId="15" xfId="0" applyNumberFormat="1" applyFont="1" applyFill="1" applyBorder="1" applyAlignment="1">
      <alignment horizontal="left"/>
    </xf>
    <xf numFmtId="177" fontId="62" fillId="0" borderId="0" xfId="0" applyNumberFormat="1" applyFont="1"/>
    <xf numFmtId="177" fontId="1" fillId="0" borderId="0" xfId="0" applyNumberFormat="1" applyFont="1"/>
    <xf numFmtId="0" fontId="0" fillId="0" borderId="16" xfId="0" applyBorder="1"/>
    <xf numFmtId="176" fontId="32" fillId="7" borderId="9" xfId="0" applyNumberFormat="1" applyFont="1" applyFill="1" applyBorder="1" applyAlignment="1">
      <alignment horizontal="right"/>
    </xf>
    <xf numFmtId="176" fontId="64" fillId="7" borderId="9" xfId="0" applyNumberFormat="1" applyFont="1" applyFill="1" applyBorder="1" applyAlignment="1">
      <alignment vertical="center"/>
    </xf>
    <xf numFmtId="175" fontId="64" fillId="7" borderId="9" xfId="0" applyNumberFormat="1" applyFont="1" applyFill="1" applyBorder="1" applyAlignment="1">
      <alignment vertical="center"/>
    </xf>
    <xf numFmtId="177" fontId="62" fillId="0" borderId="0" xfId="0" applyNumberFormat="1" applyFont="1" applyFill="1"/>
    <xf numFmtId="0" fontId="62" fillId="0" borderId="0" xfId="0" applyFont="1" applyFill="1"/>
    <xf numFmtId="9" fontId="32" fillId="7" borderId="14" xfId="9" applyFont="1" applyFill="1" applyBorder="1" applyAlignment="1">
      <alignment horizontal="left" vertical="center" wrapText="1"/>
    </xf>
    <xf numFmtId="180" fontId="32" fillId="7" borderId="9" xfId="0" applyNumberFormat="1" applyFont="1" applyFill="1" applyBorder="1" applyAlignment="1">
      <alignment horizontal="right"/>
    </xf>
    <xf numFmtId="0" fontId="1" fillId="0" borderId="0" xfId="7" applyFont="1"/>
    <xf numFmtId="0" fontId="1" fillId="3" borderId="0" xfId="7" applyFont="1" applyFill="1"/>
    <xf numFmtId="0" fontId="2" fillId="15" borderId="0" xfId="7" applyFont="1" applyFill="1"/>
    <xf numFmtId="0" fontId="1" fillId="0" borderId="0" xfId="7" applyFont="1" applyFill="1"/>
    <xf numFmtId="0" fontId="13" fillId="15" borderId="0" xfId="7" applyFill="1"/>
    <xf numFmtId="0" fontId="67" fillId="0" borderId="0" xfId="0" applyFont="1"/>
    <xf numFmtId="0" fontId="0" fillId="15" borderId="0" xfId="0" applyFill="1"/>
    <xf numFmtId="4" fontId="57" fillId="13" borderId="0" xfId="0" applyNumberFormat="1" applyFont="1" applyFill="1" applyBorder="1" applyAlignment="1">
      <alignment horizontal="right"/>
    </xf>
    <xf numFmtId="4" fontId="35" fillId="7" borderId="15" xfId="0" applyNumberFormat="1" applyFont="1" applyFill="1" applyBorder="1" applyAlignment="1">
      <alignment horizontal="right"/>
    </xf>
    <xf numFmtId="4" fontId="32" fillId="7" borderId="9" xfId="0" applyNumberFormat="1" applyFont="1" applyFill="1" applyBorder="1" applyAlignment="1">
      <alignment horizontal="right"/>
    </xf>
    <xf numFmtId="4" fontId="35" fillId="7" borderId="9" xfId="0" applyNumberFormat="1" applyFont="1" applyFill="1" applyBorder="1" applyAlignment="1">
      <alignment horizontal="right"/>
    </xf>
    <xf numFmtId="177" fontId="12" fillId="7" borderId="0" xfId="0" applyNumberFormat="1" applyFont="1" applyFill="1" applyBorder="1" applyAlignment="1">
      <alignment horizontal="right"/>
    </xf>
    <xf numFmtId="177" fontId="12" fillId="7" borderId="9" xfId="0" applyNumberFormat="1" applyFont="1" applyFill="1" applyBorder="1" applyAlignment="1">
      <alignment horizontal="right"/>
    </xf>
    <xf numFmtId="0" fontId="35" fillId="13" borderId="1" xfId="8" applyFont="1" applyFill="1" applyBorder="1" applyAlignment="1" applyProtection="1">
      <alignment horizontal="left" vertical="center"/>
      <protection locked="0"/>
    </xf>
    <xf numFmtId="0" fontId="35" fillId="13" borderId="1" xfId="8" applyFont="1" applyFill="1" applyBorder="1" applyAlignment="1" applyProtection="1">
      <alignment horizontal="right" vertical="center"/>
      <protection locked="0"/>
    </xf>
    <xf numFmtId="0" fontId="47" fillId="0" borderId="0" xfId="5" applyFont="1" applyAlignment="1">
      <alignment vertical="top" wrapText="1"/>
    </xf>
    <xf numFmtId="0" fontId="48" fillId="0" borderId="0" xfId="0" applyFont="1" applyAlignment="1">
      <alignment wrapText="1"/>
    </xf>
    <xf numFmtId="0" fontId="65" fillId="0" borderId="0" xfId="7" applyFont="1" applyFill="1" applyBorder="1" applyAlignment="1" applyProtection="1">
      <alignment horizontal="left" vertical="center"/>
      <protection locked="0"/>
    </xf>
    <xf numFmtId="0" fontId="65" fillId="0" borderId="0" xfId="7" applyFont="1" applyFill="1" applyBorder="1" applyAlignment="1" applyProtection="1">
      <alignment horizontal="center" vertical="center"/>
      <protection locked="0"/>
    </xf>
    <xf numFmtId="0" fontId="66" fillId="0" borderId="0" xfId="7" applyFont="1" applyFill="1" applyBorder="1" applyAlignment="1" applyProtection="1">
      <alignment horizontal="center" vertical="center"/>
      <protection locked="0"/>
    </xf>
    <xf numFmtId="0" fontId="37" fillId="0" borderId="0" xfId="5" applyFont="1" applyAlignment="1">
      <alignment vertical="top" wrapText="1"/>
    </xf>
    <xf numFmtId="0" fontId="38" fillId="0" borderId="0" xfId="0" applyFont="1" applyAlignment="1">
      <alignment wrapText="1"/>
    </xf>
    <xf numFmtId="0" fontId="9" fillId="0" borderId="0" xfId="5" applyFont="1" applyAlignment="1">
      <alignment vertical="top" wrapText="1"/>
    </xf>
    <xf numFmtId="0" fontId="0" fillId="0" borderId="0" xfId="0" applyAlignment="1">
      <alignment wrapText="1"/>
    </xf>
    <xf numFmtId="0" fontId="42" fillId="0" borderId="0" xfId="0" applyFont="1" applyBorder="1" applyAlignment="1">
      <alignment vertical="top" wrapText="1"/>
    </xf>
    <xf numFmtId="0" fontId="0" fillId="0" borderId="0" xfId="0" applyAlignment="1">
      <alignment vertical="top" wrapText="1"/>
    </xf>
  </cellXfs>
  <cellStyles count="11">
    <cellStyle name="_x000d__x000a_JournalTemplate=C:\COMFO\CTALK\JOURSTD.TPL_x000d__x000a_LbStateAddress=3 3 0 251 1 89 2 311_x000d__x000a_LbStateJou" xfId="1"/>
    <cellStyle name="_DOW_CHEMICAL_INTERNAL_0.93" xfId="2"/>
    <cellStyle name="Comma 2" xfId="3"/>
    <cellStyle name="Euro" xfId="4"/>
    <cellStyle name="Normal" xfId="0" builtinId="0"/>
    <cellStyle name="Normal 2" xfId="5"/>
    <cellStyle name="Normal 3" xfId="6"/>
    <cellStyle name="Normal_DOW_CHEMICAL_INTERNAL_0.93" xfId="7"/>
    <cellStyle name="Normal_DOW_CHEMICAL_INTERNAL_0.93 2" xfId="8"/>
    <cellStyle name="Percent" xfId="9" builtinId="5"/>
    <cellStyle name="Percent 2" xfId="10"/>
  </cellStyles>
  <dxfs count="48">
    <dxf>
      <font>
        <condense val="0"/>
        <extend val="0"/>
        <color indexed="38"/>
      </font>
      <border>
        <left/>
        <right/>
        <top/>
        <bottom style="thin">
          <color indexed="60"/>
        </bottom>
      </border>
    </dxf>
    <dxf>
      <font>
        <condense val="0"/>
        <extend val="0"/>
        <color indexed="17"/>
      </font>
    </dxf>
    <dxf>
      <fill>
        <patternFill>
          <bgColor indexed="52"/>
        </patternFill>
      </fill>
    </dxf>
    <dxf>
      <fill>
        <patternFill>
          <bgColor indexed="9"/>
        </patternFill>
      </fill>
      <border>
        <left/>
        <right/>
        <top/>
        <bottom/>
      </border>
    </dxf>
    <dxf>
      <font>
        <condense val="0"/>
        <extend val="0"/>
        <color indexed="22"/>
      </font>
    </dxf>
    <dxf>
      <fill>
        <patternFill>
          <bgColor indexed="52"/>
        </patternFill>
      </fill>
    </dxf>
    <dxf>
      <font>
        <condense val="0"/>
        <extend val="0"/>
        <color auto="1"/>
      </font>
      <fill>
        <patternFill>
          <bgColor indexed="9"/>
        </patternFill>
      </fill>
      <border>
        <left/>
        <right/>
        <top/>
        <bottom/>
      </border>
    </dxf>
    <dxf>
      <font>
        <condense val="0"/>
        <extend val="0"/>
        <color indexed="22"/>
      </font>
    </dxf>
    <dxf>
      <fill>
        <patternFill>
          <bgColor indexed="52"/>
        </patternFill>
      </fill>
    </dxf>
    <dxf>
      <font>
        <condense val="0"/>
        <extend val="0"/>
        <color indexed="38"/>
      </font>
      <border>
        <left/>
        <right/>
        <top/>
        <bottom style="thin">
          <color indexed="60"/>
        </bottom>
      </border>
    </dxf>
    <dxf>
      <font>
        <condense val="0"/>
        <extend val="0"/>
        <color indexed="17"/>
      </font>
    </dxf>
    <dxf>
      <fill>
        <patternFill>
          <bgColor indexed="52"/>
        </patternFill>
      </fill>
    </dxf>
    <dxf>
      <fill>
        <patternFill>
          <bgColor indexed="9"/>
        </patternFill>
      </fill>
      <border>
        <left/>
        <right/>
        <top/>
        <bottom/>
      </border>
    </dxf>
    <dxf>
      <font>
        <condense val="0"/>
        <extend val="0"/>
        <color indexed="22"/>
      </font>
    </dxf>
    <dxf>
      <fill>
        <patternFill>
          <bgColor indexed="52"/>
        </patternFill>
      </fill>
    </dxf>
    <dxf>
      <fill>
        <patternFill>
          <bgColor indexed="9"/>
        </patternFill>
      </fill>
      <border>
        <left/>
        <right/>
        <top/>
        <bottom/>
      </border>
    </dxf>
    <dxf>
      <font>
        <condense val="0"/>
        <extend val="0"/>
        <color indexed="22"/>
      </font>
    </dxf>
    <dxf>
      <fill>
        <patternFill>
          <bgColor indexed="52"/>
        </patternFill>
      </fill>
    </dxf>
    <dxf>
      <font>
        <condense val="0"/>
        <extend val="0"/>
        <color auto="1"/>
      </font>
      <fill>
        <patternFill>
          <bgColor indexed="9"/>
        </patternFill>
      </fill>
      <border>
        <left/>
        <right/>
        <top/>
        <bottom/>
      </border>
    </dxf>
    <dxf>
      <font>
        <condense val="0"/>
        <extend val="0"/>
        <color indexed="22"/>
      </font>
    </dxf>
    <dxf>
      <fill>
        <patternFill>
          <bgColor indexed="52"/>
        </patternFill>
      </fill>
    </dxf>
    <dxf>
      <font>
        <condense val="0"/>
        <extend val="0"/>
        <color indexed="37"/>
      </font>
    </dxf>
    <dxf>
      <font>
        <condense val="0"/>
        <extend val="0"/>
        <color indexed="37"/>
      </font>
    </dxf>
    <dxf>
      <fill>
        <patternFill>
          <bgColor indexed="9"/>
        </patternFill>
      </fill>
    </dxf>
    <dxf>
      <font>
        <condense val="0"/>
        <extend val="0"/>
        <color indexed="22"/>
      </font>
    </dxf>
    <dxf>
      <fill>
        <patternFill>
          <bgColor indexed="52"/>
        </patternFill>
      </fill>
    </dxf>
    <dxf>
      <font>
        <condense val="0"/>
        <extend val="0"/>
        <color auto="1"/>
      </font>
      <fill>
        <patternFill>
          <bgColor indexed="51"/>
        </patternFill>
      </fill>
    </dxf>
    <dxf>
      <font>
        <condense val="0"/>
        <extend val="0"/>
        <color indexed="55"/>
      </font>
    </dxf>
    <dxf>
      <font>
        <condense val="0"/>
        <extend val="0"/>
        <color indexed="38"/>
      </font>
    </dxf>
    <dxf>
      <font>
        <condense val="0"/>
        <extend val="0"/>
        <color indexed="55"/>
      </font>
    </dxf>
    <dxf>
      <fill>
        <patternFill>
          <bgColor indexed="9"/>
        </patternFill>
      </fill>
      <border>
        <left/>
        <right/>
        <top/>
        <bottom/>
      </border>
    </dxf>
    <dxf>
      <font>
        <condense val="0"/>
        <extend val="0"/>
        <color indexed="22"/>
      </font>
    </dxf>
    <dxf>
      <fill>
        <patternFill>
          <bgColor indexed="52"/>
        </patternFill>
      </fill>
    </dxf>
    <dxf>
      <fill>
        <patternFill>
          <bgColor indexed="9"/>
        </patternFill>
      </fill>
      <border>
        <left/>
        <right/>
        <top/>
        <bottom/>
      </border>
    </dxf>
    <dxf>
      <font>
        <condense val="0"/>
        <extend val="0"/>
        <color indexed="22"/>
      </font>
    </dxf>
    <dxf>
      <fill>
        <patternFill>
          <bgColor indexed="52"/>
        </patternFill>
      </fill>
    </dxf>
    <dxf>
      <font>
        <condense val="0"/>
        <extend val="0"/>
        <color auto="1"/>
      </font>
      <fill>
        <patternFill>
          <bgColor indexed="9"/>
        </patternFill>
      </fill>
      <border>
        <left/>
        <right/>
        <top/>
        <bottom/>
      </border>
    </dxf>
    <dxf>
      <font>
        <condense val="0"/>
        <extend val="0"/>
        <color indexed="22"/>
      </font>
    </dxf>
    <dxf>
      <fill>
        <patternFill>
          <bgColor indexed="52"/>
        </patternFill>
      </fill>
    </dxf>
    <dxf>
      <border>
        <left/>
        <right/>
        <top/>
        <bottom/>
      </border>
    </dxf>
    <dxf>
      <font>
        <condense val="0"/>
        <extend val="0"/>
        <color indexed="22"/>
      </font>
    </dxf>
    <dxf>
      <fill>
        <patternFill>
          <bgColor indexed="52"/>
        </patternFill>
      </fill>
    </dxf>
    <dxf>
      <border>
        <left/>
        <right/>
        <top/>
        <bottom/>
      </border>
    </dxf>
    <dxf>
      <font>
        <condense val="0"/>
        <extend val="0"/>
        <color indexed="22"/>
      </font>
    </dxf>
    <dxf>
      <fill>
        <patternFill>
          <bgColor indexed="52"/>
        </patternFill>
      </fill>
    </dxf>
    <dxf>
      <border>
        <left/>
        <right/>
        <top/>
        <bottom/>
      </border>
    </dxf>
    <dxf>
      <font>
        <condense val="0"/>
        <extend val="0"/>
        <color indexed="22"/>
      </font>
    </dxf>
    <dxf>
      <fill>
        <patternFill>
          <bgColor indexed="5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BD4D9"/>
      <rgbColor rgb="00001EA4"/>
      <rgbColor rgb="00E96B10"/>
      <rgbColor rgb="00CCE0F9"/>
      <rgbColor rgb="0000FFFF"/>
      <rgbColor rgb="00F3F4EE"/>
      <rgbColor rgb="00008000"/>
      <rgbColor rgb="00000080"/>
      <rgbColor rgb="00808000"/>
      <rgbColor rgb="00800080"/>
      <rgbColor rgb="00008080"/>
      <rgbColor rgb="00C0C0C0"/>
      <rgbColor rgb="00808080"/>
      <rgbColor rgb="009999FF"/>
      <rgbColor rgb="00993366"/>
      <rgbColor rgb="00EFEFD6"/>
      <rgbColor rgb="00CCFFFF"/>
      <rgbColor rgb="00660066"/>
      <rgbColor rgb="00FF8080"/>
      <rgbColor rgb="00DDDDDD"/>
      <rgbColor rgb="00FFFBF7"/>
      <rgbColor rgb="00000080"/>
      <rgbColor rgb="00FF00FF"/>
      <rgbColor rgb="00FFFF00"/>
      <rgbColor rgb="0000FFFF"/>
      <rgbColor rgb="00800080"/>
      <rgbColor rgb="0000CC66"/>
      <rgbColor rgb="00FF0000"/>
      <rgbColor rgb="0031659C"/>
      <rgbColor rgb="0000CCFF"/>
      <rgbColor rgb="00CCFFFF"/>
      <rgbColor rgb="00EAE9DF"/>
      <rgbColor rgb="00FFFF99"/>
      <rgbColor rgb="0099CCFF"/>
      <rgbColor rgb="00E5EEF3"/>
      <rgbColor rgb="00FFFBF7"/>
      <rgbColor rgb="00D3D3D3"/>
      <rgbColor rgb="003366FF"/>
      <rgbColor rgb="0033CCCC"/>
      <rgbColor rgb="008ABBD1"/>
      <rgbColor rgb="00FFCC33"/>
      <rgbColor rgb="00FF9900"/>
      <rgbColor rgb="00FF6600"/>
      <rgbColor rgb="00666699"/>
      <rgbColor rgb="00969696"/>
      <rgbColor rgb="00003366"/>
      <rgbColor rgb="004FA600"/>
      <rgbColor rgb="00003300"/>
      <rgbColor rgb="00333300"/>
      <rgbColor rgb="00D4DDD4"/>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strRef>
              <c:f>i_Dist!$F$2</c:f>
              <c:strCache>
                <c:ptCount val="1"/>
                <c:pt idx="0">
                  <c:v>ALL COUNTRIES</c:v>
                </c:pt>
              </c:strCache>
            </c:strRef>
          </c:tx>
          <c:spPr>
            <a:ln w="28575">
              <a:noFill/>
            </a:ln>
          </c:spPr>
          <c:marker>
            <c:symbol val="diamond"/>
            <c:size val="7"/>
            <c:spPr>
              <a:solidFill>
                <a:schemeClr val="bg1">
                  <a:lumMod val="65000"/>
                </a:schemeClr>
              </a:solidFill>
              <a:ln>
                <a:noFill/>
              </a:ln>
            </c:spPr>
          </c:marker>
          <c:xVal>
            <c:numRef>
              <c:f>i_Dist!$F$3:$F$57</c:f>
              <c:numCache>
                <c:formatCode>General</c:formatCode>
                <c:ptCount val="5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numCache>
            </c:numRef>
          </c:xVal>
          <c:yVal>
            <c:numRef>
              <c:f>i_Dist!$G$3:$G$57</c:f>
              <c:numCache>
                <c:formatCode>General</c:formatCode>
                <c:ptCount val="5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numCache>
            </c:numRef>
          </c:yVal>
        </c:ser>
        <c:ser>
          <c:idx val="1"/>
          <c:order val="1"/>
          <c:tx>
            <c:strRef>
              <c:f>i_Dist!$J$2</c:f>
              <c:strCache>
                <c:ptCount val="1"/>
                <c:pt idx="0">
                  <c:v>ALL COUNTRIES</c:v>
                </c:pt>
              </c:strCache>
            </c:strRef>
          </c:tx>
          <c:spPr>
            <a:ln w="28575">
              <a:noFill/>
            </a:ln>
          </c:spPr>
          <c:marker>
            <c:symbol val="diamond"/>
            <c:size val="7"/>
            <c:spPr>
              <a:solidFill>
                <a:schemeClr val="tx1"/>
              </a:solidFill>
              <a:ln>
                <a:noFill/>
              </a:ln>
            </c:spPr>
          </c:marker>
          <c:xVal>
            <c:numRef>
              <c:f>i_Dist!$J$3:$J$57</c:f>
              <c:numCache>
                <c:formatCode>General</c:formatCode>
                <c:ptCount val="55"/>
                <c:pt idx="0">
                  <c:v>73.8</c:v>
                </c:pt>
                <c:pt idx="1">
                  <c:v>71.7</c:v>
                </c:pt>
                <c:pt idx="2">
                  <c:v>68.400000000000006</c:v>
                </c:pt>
                <c:pt idx="3">
                  <c:v>62.1</c:v>
                </c:pt>
                <c:pt idx="4">
                  <c:v>60.9</c:v>
                </c:pt>
                <c:pt idx="5">
                  <c:v>59.7</c:v>
                </c:pt>
                <c:pt idx="6">
                  <c:v>58.7</c:v>
                </c:pt>
                <c:pt idx="7">
                  <c:v>58.6</c:v>
                </c:pt>
                <c:pt idx="8">
                  <c:v>57.5</c:v>
                </c:pt>
                <c:pt idx="9">
                  <c:v>57.5</c:v>
                </c:pt>
                <c:pt idx="10">
                  <c:v>56.5</c:v>
                </c:pt>
                <c:pt idx="11">
                  <c:v>56.2</c:v>
                </c:pt>
                <c:pt idx="12">
                  <c:v>55.8</c:v>
                </c:pt>
                <c:pt idx="13">
                  <c:v>54.1</c:v>
                </c:pt>
                <c:pt idx="14">
                  <c:v>51.8</c:v>
                </c:pt>
                <c:pt idx="15">
                  <c:v>50.9</c:v>
                </c:pt>
                <c:pt idx="16">
                  <c:v>49.5</c:v>
                </c:pt>
                <c:pt idx="17">
                  <c:v>49.3</c:v>
                </c:pt>
                <c:pt idx="18">
                  <c:v>48.4</c:v>
                </c:pt>
                <c:pt idx="19">
                  <c:v>48</c:v>
                </c:pt>
                <c:pt idx="20">
                  <c:v>47.3</c:v>
                </c:pt>
                <c:pt idx="21">
                  <c:v>47</c:v>
                </c:pt>
                <c:pt idx="22">
                  <c:v>45.1</c:v>
                </c:pt>
                <c:pt idx="23">
                  <c:v>44</c:v>
                </c:pt>
                <c:pt idx="24">
                  <c:v>43.9</c:v>
                </c:pt>
                <c:pt idx="25">
                  <c:v>43.1</c:v>
                </c:pt>
                <c:pt idx="26">
                  <c:v>42.7</c:v>
                </c:pt>
                <c:pt idx="27">
                  <c:v>42.5</c:v>
                </c:pt>
                <c:pt idx="28">
                  <c:v>42.1</c:v>
                </c:pt>
                <c:pt idx="29">
                  <c:v>40.4</c:v>
                </c:pt>
                <c:pt idx="30">
                  <c:v>40.4</c:v>
                </c:pt>
                <c:pt idx="31">
                  <c:v>40.299999999999997</c:v>
                </c:pt>
                <c:pt idx="32">
                  <c:v>39.4</c:v>
                </c:pt>
                <c:pt idx="33">
                  <c:v>38.6</c:v>
                </c:pt>
                <c:pt idx="34">
                  <c:v>36.799999999999997</c:v>
                </c:pt>
                <c:pt idx="35">
                  <c:v>35.200000000000003</c:v>
                </c:pt>
                <c:pt idx="36">
                  <c:v>34.1</c:v>
                </c:pt>
                <c:pt idx="37">
                  <c:v>33.4</c:v>
                </c:pt>
                <c:pt idx="38">
                  <c:v>32.6</c:v>
                </c:pt>
                <c:pt idx="39">
                  <c:v>32.299999999999997</c:v>
                </c:pt>
                <c:pt idx="40">
                  <c:v>31.6</c:v>
                </c:pt>
                <c:pt idx="41">
                  <c:v>31.3</c:v>
                </c:pt>
                <c:pt idx="42">
                  <c:v>30.8</c:v>
                </c:pt>
                <c:pt idx="43">
                  <c:v>30.3</c:v>
                </c:pt>
                <c:pt idx="44">
                  <c:v>30.3</c:v>
                </c:pt>
                <c:pt idx="45">
                  <c:v>30</c:v>
                </c:pt>
                <c:pt idx="46">
                  <c:v>30</c:v>
                </c:pt>
                <c:pt idx="47">
                  <c:v>29.3</c:v>
                </c:pt>
                <c:pt idx="48">
                  <c:v>29</c:v>
                </c:pt>
                <c:pt idx="49">
                  <c:v>28.4</c:v>
                </c:pt>
                <c:pt idx="50">
                  <c:v>24.1</c:v>
                </c:pt>
                <c:pt idx="51">
                  <c:v>23.7</c:v>
                </c:pt>
                <c:pt idx="52">
                  <c:v>22.9</c:v>
                </c:pt>
                <c:pt idx="53">
                  <c:v>21.6</c:v>
                </c:pt>
                <c:pt idx="54">
                  <c:v>21.2</c:v>
                </c:pt>
              </c:numCache>
            </c:numRef>
          </c:xVal>
          <c:yVal>
            <c:numRef>
              <c:f>i_Dist!$K$3:$K$57</c:f>
              <c:numCache>
                <c:formatCode>General</c:formatCode>
                <c:ptCount val="5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numCache>
            </c:numRef>
          </c:yVal>
        </c:ser>
        <c:ser>
          <c:idx val="2"/>
          <c:order val="2"/>
          <c:tx>
            <c:strRef>
              <c:f>i_Dist!$M$2</c:f>
              <c:strCache>
                <c:ptCount val="1"/>
                <c:pt idx="0">
                  <c:v>&lt;none&gt;</c:v>
                </c:pt>
              </c:strCache>
            </c:strRef>
          </c:tx>
          <c:spPr>
            <a:ln w="28575">
              <a:noFill/>
            </a:ln>
          </c:spPr>
          <c:marker>
            <c:symbol val="diamond"/>
            <c:size val="8"/>
            <c:spPr>
              <a:solidFill>
                <a:srgbClr val="FF0000"/>
              </a:solidFill>
              <a:ln>
                <a:noFill/>
              </a:ln>
            </c:spPr>
          </c:marker>
          <c:xVal>
            <c:numRef>
              <c:f>i_Dist!$M$3:$M$57</c:f>
              <c:numCache>
                <c:formatCode>General</c:formatCode>
                <c:ptCount val="5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numCache>
            </c:numRef>
          </c:xVal>
          <c:yVal>
            <c:numRef>
              <c:f>i_Dist!$N$3:$N$57</c:f>
              <c:numCache>
                <c:formatCode>General</c:formatCode>
                <c:ptCount val="5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numCache>
            </c:numRef>
          </c:yVal>
        </c:ser>
        <c:axId val="119683712"/>
        <c:axId val="119685888"/>
      </c:scatterChart>
      <c:valAx>
        <c:axId val="119683712"/>
        <c:scaling>
          <c:orientation val="minMax"/>
          <c:max val="100"/>
          <c:min val="0"/>
        </c:scaling>
        <c:axPos val="b"/>
        <c:numFmt formatCode="General" sourceLinked="1"/>
        <c:majorTickMark val="none"/>
        <c:tickLblPos val="nextTo"/>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9685888"/>
        <c:crosses val="autoZero"/>
        <c:crossBetween val="midCat"/>
      </c:valAx>
      <c:valAx>
        <c:axId val="119685888"/>
        <c:scaling>
          <c:orientation val="minMax"/>
          <c:max val="2"/>
          <c:min val="0"/>
        </c:scaling>
        <c:delete val="1"/>
        <c:axPos val="l"/>
        <c:numFmt formatCode="General" sourceLinked="1"/>
        <c:tickLblPos val="none"/>
        <c:crossAx val="119683712"/>
        <c:crosses val="autoZero"/>
        <c:crossBetween val="midCat"/>
      </c:valAx>
    </c:plotArea>
    <c:legend>
      <c:legendPos val="t"/>
      <c:txPr>
        <a:bodyPr/>
        <a:lstStyle/>
        <a:p>
          <a:pPr>
            <a:defRPr sz="920" b="0" i="0" u="none" strike="noStrike" baseline="0">
              <a:solidFill>
                <a:srgbClr val="000000"/>
              </a:solidFill>
              <a:latin typeface="Calibri"/>
              <a:ea typeface="Calibri"/>
              <a:cs typeface="Calibri"/>
            </a:defRPr>
          </a:pPr>
          <a:endParaRPr lang="en-US"/>
        </a:p>
      </c:txPr>
    </c:legend>
    <c:plotVisOnly val="1"/>
    <c:dispBlanksAs val="gap"/>
  </c:chart>
  <c:spPr>
    <a:ln>
      <a:solidFill>
        <a:schemeClr val="bg1">
          <a:lumMod val="95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v>All (no display)</c:v>
          </c:tx>
          <c:spPr>
            <a:ln w="28575">
              <a:noFill/>
            </a:ln>
          </c:spPr>
          <c:marker>
            <c:symbol val="none"/>
          </c:marker>
          <c:trendline>
            <c:trendlineType val="linear"/>
          </c:trendline>
          <c:xVal>
            <c:numRef>
              <c:f>i_scatter!$C$15:$BE$15</c:f>
              <c:numCache>
                <c:formatCode>General</c:formatCode>
                <c:ptCount val="55"/>
                <c:pt idx="0">
                  <c:v>30.8</c:v>
                </c:pt>
                <c:pt idx="1">
                  <c:v>43.9</c:v>
                </c:pt>
                <c:pt idx="2">
                  <c:v>29</c:v>
                </c:pt>
                <c:pt idx="3">
                  <c:v>42.7</c:v>
                </c:pt>
                <c:pt idx="4">
                  <c:v>71.7</c:v>
                </c:pt>
                <c:pt idx="5">
                  <c:v>43.1</c:v>
                </c:pt>
                <c:pt idx="6">
                  <c:v>44</c:v>
                </c:pt>
                <c:pt idx="7">
                  <c:v>54.1</c:v>
                </c:pt>
                <c:pt idx="8">
                  <c:v>31.6</c:v>
                </c:pt>
                <c:pt idx="9">
                  <c:v>48</c:v>
                </c:pt>
                <c:pt idx="10">
                  <c:v>34.1</c:v>
                </c:pt>
                <c:pt idx="11">
                  <c:v>58.6</c:v>
                </c:pt>
                <c:pt idx="12">
                  <c:v>42.5</c:v>
                </c:pt>
                <c:pt idx="13">
                  <c:v>47</c:v>
                </c:pt>
                <c:pt idx="14">
                  <c:v>36.799999999999997</c:v>
                </c:pt>
                <c:pt idx="15">
                  <c:v>59.7</c:v>
                </c:pt>
                <c:pt idx="16">
                  <c:v>57.5</c:v>
                </c:pt>
                <c:pt idx="17">
                  <c:v>31.3</c:v>
                </c:pt>
                <c:pt idx="18">
                  <c:v>45.1</c:v>
                </c:pt>
                <c:pt idx="19">
                  <c:v>60.9</c:v>
                </c:pt>
                <c:pt idx="20">
                  <c:v>51.8</c:v>
                </c:pt>
                <c:pt idx="21">
                  <c:v>33.4</c:v>
                </c:pt>
                <c:pt idx="22">
                  <c:v>49.3</c:v>
                </c:pt>
                <c:pt idx="23">
                  <c:v>62.1</c:v>
                </c:pt>
                <c:pt idx="24">
                  <c:v>35.200000000000003</c:v>
                </c:pt>
                <c:pt idx="25">
                  <c:v>23.7</c:v>
                </c:pt>
                <c:pt idx="26">
                  <c:v>55.8</c:v>
                </c:pt>
                <c:pt idx="27">
                  <c:v>56.2</c:v>
                </c:pt>
                <c:pt idx="28">
                  <c:v>29.3</c:v>
                </c:pt>
                <c:pt idx="29">
                  <c:v>32.299999999999997</c:v>
                </c:pt>
                <c:pt idx="30">
                  <c:v>47.3</c:v>
                </c:pt>
                <c:pt idx="31">
                  <c:v>30</c:v>
                </c:pt>
                <c:pt idx="32">
                  <c:v>30.3</c:v>
                </c:pt>
                <c:pt idx="33">
                  <c:v>40.299999999999997</c:v>
                </c:pt>
                <c:pt idx="34">
                  <c:v>30</c:v>
                </c:pt>
                <c:pt idx="35">
                  <c:v>58.7</c:v>
                </c:pt>
                <c:pt idx="36">
                  <c:v>39.4</c:v>
                </c:pt>
                <c:pt idx="37">
                  <c:v>56.5</c:v>
                </c:pt>
                <c:pt idx="38">
                  <c:v>50.9</c:v>
                </c:pt>
                <c:pt idx="39">
                  <c:v>49.5</c:v>
                </c:pt>
                <c:pt idx="40">
                  <c:v>73.8</c:v>
                </c:pt>
                <c:pt idx="41">
                  <c:v>68.400000000000006</c:v>
                </c:pt>
                <c:pt idx="42">
                  <c:v>38.6</c:v>
                </c:pt>
                <c:pt idx="43">
                  <c:v>32.6</c:v>
                </c:pt>
                <c:pt idx="44">
                  <c:v>40.4</c:v>
                </c:pt>
                <c:pt idx="45">
                  <c:v>40.4</c:v>
                </c:pt>
                <c:pt idx="46">
                  <c:v>48.4</c:v>
                </c:pt>
                <c:pt idx="47">
                  <c:v>21.2</c:v>
                </c:pt>
                <c:pt idx="48">
                  <c:v>22.9</c:v>
                </c:pt>
                <c:pt idx="49">
                  <c:v>30.3</c:v>
                </c:pt>
                <c:pt idx="50">
                  <c:v>57.5</c:v>
                </c:pt>
                <c:pt idx="51">
                  <c:v>28.4</c:v>
                </c:pt>
                <c:pt idx="52">
                  <c:v>24.1</c:v>
                </c:pt>
                <c:pt idx="53">
                  <c:v>21.6</c:v>
                </c:pt>
                <c:pt idx="54">
                  <c:v>42.1</c:v>
                </c:pt>
              </c:numCache>
            </c:numRef>
          </c:xVal>
          <c:yVal>
            <c:numRef>
              <c:f>i_scatter!$C$16:$BE$16</c:f>
              <c:numCache>
                <c:formatCode>General</c:formatCode>
                <c:ptCount val="55"/>
                <c:pt idx="0">
                  <c:v>1.2815557184120232</c:v>
                </c:pt>
                <c:pt idx="1">
                  <c:v>#N/A</c:v>
                </c:pt>
                <c:pt idx="2">
                  <c:v>#N/A</c:v>
                </c:pt>
                <c:pt idx="3">
                  <c:v>#N/A</c:v>
                </c:pt>
                <c:pt idx="4">
                  <c:v>44.625449447924396</c:v>
                </c:pt>
                <c:pt idx="5">
                  <c:v>#N/A</c:v>
                </c:pt>
                <c:pt idx="6">
                  <c:v>2.8750621210881939</c:v>
                </c:pt>
                <c:pt idx="7">
                  <c:v>#N/A</c:v>
                </c:pt>
                <c:pt idx="8">
                  <c:v>#N/A</c:v>
                </c:pt>
                <c:pt idx="9">
                  <c:v>13.88282130419311</c:v>
                </c:pt>
                <c:pt idx="10">
                  <c:v>#N/A</c:v>
                </c:pt>
                <c:pt idx="11">
                  <c:v>11.591768668724008</c:v>
                </c:pt>
                <c:pt idx="12">
                  <c:v>15.8781491337601</c:v>
                </c:pt>
                <c:pt idx="13">
                  <c:v>15.573619738159342</c:v>
                </c:pt>
                <c:pt idx="14">
                  <c:v>#N/A</c:v>
                </c:pt>
                <c:pt idx="15">
                  <c:v>47.48838045137019</c:v>
                </c:pt>
                <c:pt idx="16">
                  <c:v>35.793202436844965</c:v>
                </c:pt>
                <c:pt idx="17">
                  <c:v>#N/A</c:v>
                </c:pt>
                <c:pt idx="18">
                  <c:v>#N/A</c:v>
                </c:pt>
                <c:pt idx="19">
                  <c:v>#N/A</c:v>
                </c:pt>
                <c:pt idx="20">
                  <c:v>21.012528724627639</c:v>
                </c:pt>
                <c:pt idx="21">
                  <c:v>#N/A</c:v>
                </c:pt>
                <c:pt idx="22">
                  <c:v>17.811886880880195</c:v>
                </c:pt>
                <c:pt idx="23">
                  <c:v>#N/A</c:v>
                </c:pt>
                <c:pt idx="24">
                  <c:v>#N/A</c:v>
                </c:pt>
                <c:pt idx="25">
                  <c:v>#N/A</c:v>
                </c:pt>
                <c:pt idx="26">
                  <c:v>#N/A</c:v>
                </c:pt>
                <c:pt idx="27">
                  <c:v>#N/A</c:v>
                </c:pt>
                <c:pt idx="28">
                  <c:v>#N/A</c:v>
                </c:pt>
                <c:pt idx="29">
                  <c:v>#N/A</c:v>
                </c:pt>
                <c:pt idx="30">
                  <c:v>17.446465245547422</c:v>
                </c:pt>
                <c:pt idx="31">
                  <c:v>#N/A</c:v>
                </c:pt>
                <c:pt idx="32">
                  <c:v>#N/A</c:v>
                </c:pt>
                <c:pt idx="33">
                  <c:v>#N/A</c:v>
                </c:pt>
                <c:pt idx="34">
                  <c:v>#N/A</c:v>
                </c:pt>
                <c:pt idx="35">
                  <c:v>58.715065084093169</c:v>
                </c:pt>
                <c:pt idx="36">
                  <c:v>#N/A</c:v>
                </c:pt>
                <c:pt idx="37">
                  <c:v>#N/A</c:v>
                </c:pt>
                <c:pt idx="38">
                  <c:v>4.9016220366637873</c:v>
                </c:pt>
                <c:pt idx="39">
                  <c:v>17.788631651236457</c:v>
                </c:pt>
                <c:pt idx="40">
                  <c:v>31.25358565943796</c:v>
                </c:pt>
                <c:pt idx="41">
                  <c:v>#N/A</c:v>
                </c:pt>
                <c:pt idx="42">
                  <c:v>#N/A</c:v>
                </c:pt>
                <c:pt idx="43">
                  <c:v>#N/A</c:v>
                </c:pt>
                <c:pt idx="44">
                  <c:v>#N/A</c:v>
                </c:pt>
                <c:pt idx="45">
                  <c:v>#N/A</c:v>
                </c:pt>
                <c:pt idx="46">
                  <c:v>#N/A</c:v>
                </c:pt>
                <c:pt idx="47">
                  <c:v>#N/A</c:v>
                </c:pt>
                <c:pt idx="48">
                  <c:v>#N/A</c:v>
                </c:pt>
                <c:pt idx="49">
                  <c:v>#N/A</c:v>
                </c:pt>
                <c:pt idx="50">
                  <c:v>#N/A</c:v>
                </c:pt>
                <c:pt idx="51">
                  <c:v>2.5682215463084912</c:v>
                </c:pt>
                <c:pt idx="52">
                  <c:v>1.3584964058778015</c:v>
                </c:pt>
                <c:pt idx="53">
                  <c:v>#N/A</c:v>
                </c:pt>
                <c:pt idx="54">
                  <c:v>#N/A</c:v>
                </c:pt>
              </c:numCache>
            </c:numRef>
          </c:yVal>
        </c:ser>
        <c:ser>
          <c:idx val="1"/>
          <c:order val="1"/>
          <c:tx>
            <c:v>Non highlight</c:v>
          </c:tx>
          <c:spPr>
            <a:ln w="28575">
              <a:noFill/>
            </a:ln>
          </c:spPr>
          <c:marker>
            <c:symbol val="diamond"/>
            <c:size val="7"/>
            <c:spPr>
              <a:solidFill>
                <a:schemeClr val="bg1">
                  <a:lumMod val="75000"/>
                </a:schemeClr>
              </a:solidFill>
              <a:ln>
                <a:noFill/>
              </a:ln>
            </c:spPr>
          </c:marker>
          <c:xVal>
            <c:numRef>
              <c:f>i_scatter!$C$30:$BE$30</c:f>
              <c:numCache>
                <c:formatCode>General</c:formatCode>
                <c:ptCount val="5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numCache>
            </c:numRef>
          </c:xVal>
          <c:yVal>
            <c:numRef>
              <c:f>i_scatter!$C$31:$BE$31</c:f>
              <c:numCache>
                <c:formatCode>General</c:formatCode>
                <c:ptCount val="5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numCache>
            </c:numRef>
          </c:yVal>
        </c:ser>
        <c:ser>
          <c:idx val="2"/>
          <c:order val="2"/>
          <c:tx>
            <c:v>Highlight</c:v>
          </c:tx>
          <c:spPr>
            <a:ln w="28575">
              <a:noFill/>
            </a:ln>
          </c:spPr>
          <c:marker>
            <c:symbol val="diamond"/>
            <c:size val="7"/>
            <c:spPr>
              <a:solidFill>
                <a:schemeClr val="tx1"/>
              </a:solidFill>
              <a:ln>
                <a:noFill/>
              </a:ln>
            </c:spPr>
          </c:marker>
          <c:xVal>
            <c:numRef>
              <c:f>i_scatter!$C$34:$BE$34</c:f>
              <c:numCache>
                <c:formatCode>General</c:formatCode>
                <c:ptCount val="55"/>
                <c:pt idx="0">
                  <c:v>30.8</c:v>
                </c:pt>
                <c:pt idx="1">
                  <c:v>43.9</c:v>
                </c:pt>
                <c:pt idx="2">
                  <c:v>29</c:v>
                </c:pt>
                <c:pt idx="3">
                  <c:v>42.7</c:v>
                </c:pt>
                <c:pt idx="4">
                  <c:v>71.7</c:v>
                </c:pt>
                <c:pt idx="5">
                  <c:v>43.1</c:v>
                </c:pt>
                <c:pt idx="6">
                  <c:v>44</c:v>
                </c:pt>
                <c:pt idx="7">
                  <c:v>54.1</c:v>
                </c:pt>
                <c:pt idx="8">
                  <c:v>31.6</c:v>
                </c:pt>
                <c:pt idx="9">
                  <c:v>48</c:v>
                </c:pt>
                <c:pt idx="10">
                  <c:v>34.1</c:v>
                </c:pt>
                <c:pt idx="11">
                  <c:v>58.6</c:v>
                </c:pt>
                <c:pt idx="12">
                  <c:v>42.5</c:v>
                </c:pt>
                <c:pt idx="13">
                  <c:v>47</c:v>
                </c:pt>
                <c:pt idx="14">
                  <c:v>36.799999999999997</c:v>
                </c:pt>
                <c:pt idx="15">
                  <c:v>59.7</c:v>
                </c:pt>
                <c:pt idx="16">
                  <c:v>57.5</c:v>
                </c:pt>
                <c:pt idx="17">
                  <c:v>31.3</c:v>
                </c:pt>
                <c:pt idx="18">
                  <c:v>45.1</c:v>
                </c:pt>
                <c:pt idx="19">
                  <c:v>60.9</c:v>
                </c:pt>
                <c:pt idx="20">
                  <c:v>51.8</c:v>
                </c:pt>
                <c:pt idx="21">
                  <c:v>33.4</c:v>
                </c:pt>
                <c:pt idx="22">
                  <c:v>49.3</c:v>
                </c:pt>
                <c:pt idx="23">
                  <c:v>62.1</c:v>
                </c:pt>
                <c:pt idx="24">
                  <c:v>35.200000000000003</c:v>
                </c:pt>
                <c:pt idx="25">
                  <c:v>23.7</c:v>
                </c:pt>
                <c:pt idx="26">
                  <c:v>55.8</c:v>
                </c:pt>
                <c:pt idx="27">
                  <c:v>56.2</c:v>
                </c:pt>
                <c:pt idx="28">
                  <c:v>29.3</c:v>
                </c:pt>
                <c:pt idx="29">
                  <c:v>32.299999999999997</c:v>
                </c:pt>
                <c:pt idx="30">
                  <c:v>47.3</c:v>
                </c:pt>
                <c:pt idx="31">
                  <c:v>30</c:v>
                </c:pt>
                <c:pt idx="32">
                  <c:v>30.3</c:v>
                </c:pt>
                <c:pt idx="33">
                  <c:v>40.299999999999997</c:v>
                </c:pt>
                <c:pt idx="34">
                  <c:v>30</c:v>
                </c:pt>
                <c:pt idx="35">
                  <c:v>58.7</c:v>
                </c:pt>
                <c:pt idx="36">
                  <c:v>39.4</c:v>
                </c:pt>
                <c:pt idx="37">
                  <c:v>56.5</c:v>
                </c:pt>
                <c:pt idx="38">
                  <c:v>50.9</c:v>
                </c:pt>
                <c:pt idx="39">
                  <c:v>49.5</c:v>
                </c:pt>
                <c:pt idx="40">
                  <c:v>73.8</c:v>
                </c:pt>
                <c:pt idx="41">
                  <c:v>68.400000000000006</c:v>
                </c:pt>
                <c:pt idx="42">
                  <c:v>38.6</c:v>
                </c:pt>
                <c:pt idx="43">
                  <c:v>32.6</c:v>
                </c:pt>
                <c:pt idx="44">
                  <c:v>40.4</c:v>
                </c:pt>
                <c:pt idx="45">
                  <c:v>40.4</c:v>
                </c:pt>
                <c:pt idx="46">
                  <c:v>48.4</c:v>
                </c:pt>
                <c:pt idx="47">
                  <c:v>21.2</c:v>
                </c:pt>
                <c:pt idx="48">
                  <c:v>22.9</c:v>
                </c:pt>
                <c:pt idx="49">
                  <c:v>30.3</c:v>
                </c:pt>
                <c:pt idx="50">
                  <c:v>57.5</c:v>
                </c:pt>
                <c:pt idx="51">
                  <c:v>28.4</c:v>
                </c:pt>
                <c:pt idx="52">
                  <c:v>24.1</c:v>
                </c:pt>
                <c:pt idx="53">
                  <c:v>21.6</c:v>
                </c:pt>
                <c:pt idx="54">
                  <c:v>42.1</c:v>
                </c:pt>
              </c:numCache>
            </c:numRef>
          </c:xVal>
          <c:yVal>
            <c:numRef>
              <c:f>i_scatter!$C$35:$BE$35</c:f>
              <c:numCache>
                <c:formatCode>General</c:formatCode>
                <c:ptCount val="55"/>
                <c:pt idx="0">
                  <c:v>1.2815557184120232</c:v>
                </c:pt>
                <c:pt idx="1">
                  <c:v>#N/A</c:v>
                </c:pt>
                <c:pt idx="2">
                  <c:v>#N/A</c:v>
                </c:pt>
                <c:pt idx="3">
                  <c:v>#N/A</c:v>
                </c:pt>
                <c:pt idx="4">
                  <c:v>44.625449447924396</c:v>
                </c:pt>
                <c:pt idx="5">
                  <c:v>#N/A</c:v>
                </c:pt>
                <c:pt idx="6">
                  <c:v>2.8750621210881939</c:v>
                </c:pt>
                <c:pt idx="7">
                  <c:v>#N/A</c:v>
                </c:pt>
                <c:pt idx="8">
                  <c:v>#N/A</c:v>
                </c:pt>
                <c:pt idx="9">
                  <c:v>13.88282130419311</c:v>
                </c:pt>
                <c:pt idx="10">
                  <c:v>#N/A</c:v>
                </c:pt>
                <c:pt idx="11">
                  <c:v>11.591768668724008</c:v>
                </c:pt>
                <c:pt idx="12">
                  <c:v>15.8781491337601</c:v>
                </c:pt>
                <c:pt idx="13">
                  <c:v>15.573619738159342</c:v>
                </c:pt>
                <c:pt idx="14">
                  <c:v>#N/A</c:v>
                </c:pt>
                <c:pt idx="15">
                  <c:v>47.48838045137019</c:v>
                </c:pt>
                <c:pt idx="16">
                  <c:v>35.793202436844965</c:v>
                </c:pt>
                <c:pt idx="17">
                  <c:v>#N/A</c:v>
                </c:pt>
                <c:pt idx="18">
                  <c:v>#N/A</c:v>
                </c:pt>
                <c:pt idx="19">
                  <c:v>#N/A</c:v>
                </c:pt>
                <c:pt idx="20">
                  <c:v>21.012528724627639</c:v>
                </c:pt>
                <c:pt idx="21">
                  <c:v>#N/A</c:v>
                </c:pt>
                <c:pt idx="22">
                  <c:v>17.811886880880195</c:v>
                </c:pt>
                <c:pt idx="23">
                  <c:v>#N/A</c:v>
                </c:pt>
                <c:pt idx="24">
                  <c:v>#N/A</c:v>
                </c:pt>
                <c:pt idx="25">
                  <c:v>#N/A</c:v>
                </c:pt>
                <c:pt idx="26">
                  <c:v>#N/A</c:v>
                </c:pt>
                <c:pt idx="27">
                  <c:v>#N/A</c:v>
                </c:pt>
                <c:pt idx="28">
                  <c:v>#N/A</c:v>
                </c:pt>
                <c:pt idx="29">
                  <c:v>#N/A</c:v>
                </c:pt>
                <c:pt idx="30">
                  <c:v>17.446465245547422</c:v>
                </c:pt>
                <c:pt idx="31">
                  <c:v>#N/A</c:v>
                </c:pt>
                <c:pt idx="32">
                  <c:v>#N/A</c:v>
                </c:pt>
                <c:pt idx="33">
                  <c:v>#N/A</c:v>
                </c:pt>
                <c:pt idx="34">
                  <c:v>#N/A</c:v>
                </c:pt>
                <c:pt idx="35">
                  <c:v>58.715065084093169</c:v>
                </c:pt>
                <c:pt idx="36">
                  <c:v>#N/A</c:v>
                </c:pt>
                <c:pt idx="37">
                  <c:v>#N/A</c:v>
                </c:pt>
                <c:pt idx="38">
                  <c:v>4.9016220366637873</c:v>
                </c:pt>
                <c:pt idx="39">
                  <c:v>17.788631651236457</c:v>
                </c:pt>
                <c:pt idx="40">
                  <c:v>31.25358565943796</c:v>
                </c:pt>
                <c:pt idx="41">
                  <c:v>#N/A</c:v>
                </c:pt>
                <c:pt idx="42">
                  <c:v>#N/A</c:v>
                </c:pt>
                <c:pt idx="43">
                  <c:v>#N/A</c:v>
                </c:pt>
                <c:pt idx="44">
                  <c:v>#N/A</c:v>
                </c:pt>
                <c:pt idx="45">
                  <c:v>#N/A</c:v>
                </c:pt>
                <c:pt idx="46">
                  <c:v>#N/A</c:v>
                </c:pt>
                <c:pt idx="47">
                  <c:v>#N/A</c:v>
                </c:pt>
                <c:pt idx="48">
                  <c:v>#N/A</c:v>
                </c:pt>
                <c:pt idx="49">
                  <c:v>#N/A</c:v>
                </c:pt>
                <c:pt idx="50">
                  <c:v>#N/A</c:v>
                </c:pt>
                <c:pt idx="51">
                  <c:v>2.5682215463084912</c:v>
                </c:pt>
                <c:pt idx="52">
                  <c:v>1.3584964058778015</c:v>
                </c:pt>
                <c:pt idx="53">
                  <c:v>#N/A</c:v>
                </c:pt>
                <c:pt idx="54">
                  <c:v>#N/A</c:v>
                </c:pt>
              </c:numCache>
            </c:numRef>
          </c:yVal>
        </c:ser>
        <c:ser>
          <c:idx val="3"/>
          <c:order val="3"/>
          <c:tx>
            <c:v>Highlight (Labels)</c:v>
          </c:tx>
          <c:spPr>
            <a:ln w="28575">
              <a:noFill/>
            </a:ln>
          </c:spPr>
          <c:marker>
            <c:symbol val="none"/>
          </c:marker>
          <c:dLbls>
            <c:dLbl>
              <c:idx val="0"/>
              <c:tx>
                <c:rich>
                  <a:bodyPr/>
                  <a:lstStyle/>
                  <a:p>
                    <a:pPr>
                      <a:defRPr sz="800" b="0" i="0" u="none" strike="noStrike" baseline="0">
                        <a:solidFill>
                          <a:srgbClr val="000000"/>
                        </a:solidFill>
                        <a:latin typeface="Calibri"/>
                        <a:ea typeface="Calibri"/>
                        <a:cs typeface="Calibri"/>
                      </a:defRPr>
                    </a:pPr>
                    <a:r>
                      <a:t>Argentina</a:t>
                    </a:r>
                  </a:p>
                </c:rich>
              </c:tx>
              <c:spPr>
                <a:noFill/>
                <a:ln w="25400">
                  <a:noFill/>
                </a:ln>
              </c:spPr>
            </c:dLbl>
            <c:dLbl>
              <c:idx val="1"/>
              <c:tx>
                <c:rich>
                  <a:bodyPr/>
                  <a:lstStyle/>
                  <a:p>
                    <a:pPr>
                      <a:defRPr sz="800" b="0" i="0" u="none" strike="noStrike" baseline="0">
                        <a:solidFill>
                          <a:srgbClr val="000000"/>
                        </a:solidFill>
                        <a:latin typeface="Calibri"/>
                        <a:ea typeface="Calibri"/>
                        <a:cs typeface="Calibri"/>
                      </a:defRPr>
                    </a:pPr>
                    <a:r>
                      <a:t>Armenia</a:t>
                    </a:r>
                  </a:p>
                </c:rich>
              </c:tx>
              <c:spPr>
                <a:noFill/>
                <a:ln w="25400">
                  <a:noFill/>
                </a:ln>
              </c:spPr>
            </c:dLbl>
            <c:dLbl>
              <c:idx val="2"/>
              <c:tx>
                <c:rich>
                  <a:bodyPr/>
                  <a:lstStyle/>
                  <a:p>
                    <a:pPr>
                      <a:defRPr sz="800" b="0" i="0" u="none" strike="noStrike" baseline="0">
                        <a:solidFill>
                          <a:srgbClr val="000000"/>
                        </a:solidFill>
                        <a:latin typeface="Calibri"/>
                        <a:ea typeface="Calibri"/>
                        <a:cs typeface="Calibri"/>
                      </a:defRPr>
                    </a:pPr>
                    <a:r>
                      <a:t>Azerbaijan</a:t>
                    </a:r>
                  </a:p>
                </c:rich>
              </c:tx>
              <c:spPr>
                <a:noFill/>
                <a:ln w="25400">
                  <a:noFill/>
                </a:ln>
              </c:spPr>
            </c:dLbl>
            <c:dLbl>
              <c:idx val="3"/>
              <c:tx>
                <c:rich>
                  <a:bodyPr/>
                  <a:lstStyle/>
                  <a:p>
                    <a:pPr>
                      <a:defRPr sz="800" b="0" i="0" u="none" strike="noStrike" baseline="0">
                        <a:solidFill>
                          <a:srgbClr val="000000"/>
                        </a:solidFill>
                        <a:latin typeface="Calibri"/>
                        <a:ea typeface="Calibri"/>
                        <a:cs typeface="Calibri"/>
                      </a:defRPr>
                    </a:pPr>
                    <a:r>
                      <a:t>Bangladesh</a:t>
                    </a:r>
                  </a:p>
                </c:rich>
              </c:tx>
              <c:spPr>
                <a:noFill/>
                <a:ln w="25400">
                  <a:noFill/>
                </a:ln>
              </c:spPr>
            </c:dLbl>
            <c:dLbl>
              <c:idx val="4"/>
              <c:tx>
                <c:rich>
                  <a:bodyPr/>
                  <a:lstStyle/>
                  <a:p>
                    <a:pPr>
                      <a:defRPr sz="800" b="0" i="0" u="none" strike="noStrike" baseline="0">
                        <a:solidFill>
                          <a:srgbClr val="000000"/>
                        </a:solidFill>
                        <a:latin typeface="Calibri"/>
                        <a:ea typeface="Calibri"/>
                        <a:cs typeface="Calibri"/>
                      </a:defRPr>
                    </a:pPr>
                    <a:r>
                      <a:t>Bolivia</a:t>
                    </a:r>
                  </a:p>
                </c:rich>
              </c:tx>
              <c:spPr>
                <a:noFill/>
                <a:ln w="25400">
                  <a:noFill/>
                </a:ln>
              </c:spPr>
            </c:dLbl>
            <c:dLbl>
              <c:idx val="5"/>
              <c:tx>
                <c:rich>
                  <a:bodyPr/>
                  <a:lstStyle/>
                  <a:p>
                    <a:pPr>
                      <a:defRPr sz="800" b="0" i="0" u="none" strike="noStrike" baseline="0">
                        <a:solidFill>
                          <a:srgbClr val="000000"/>
                        </a:solidFill>
                        <a:latin typeface="Calibri"/>
                        <a:ea typeface="Calibri"/>
                        <a:cs typeface="Calibri"/>
                      </a:defRPr>
                    </a:pPr>
                    <a:r>
                      <a:t>Bosnia</a:t>
                    </a:r>
                  </a:p>
                </c:rich>
              </c:tx>
              <c:spPr>
                <a:noFill/>
                <a:ln w="25400">
                  <a:noFill/>
                </a:ln>
              </c:spPr>
            </c:dLbl>
            <c:dLbl>
              <c:idx val="6"/>
              <c:tx>
                <c:rich>
                  <a:bodyPr/>
                  <a:lstStyle/>
                  <a:p>
                    <a:pPr>
                      <a:defRPr sz="800" b="0" i="0" u="none" strike="noStrike" baseline="0">
                        <a:solidFill>
                          <a:srgbClr val="000000"/>
                        </a:solidFill>
                        <a:latin typeface="Calibri"/>
                        <a:ea typeface="Calibri"/>
                        <a:cs typeface="Calibri"/>
                      </a:defRPr>
                    </a:pPr>
                    <a:r>
                      <a:t>Brazil</a:t>
                    </a:r>
                  </a:p>
                </c:rich>
              </c:tx>
              <c:spPr>
                <a:noFill/>
                <a:ln w="25400">
                  <a:noFill/>
                </a:ln>
              </c:spPr>
            </c:dLbl>
            <c:dLbl>
              <c:idx val="7"/>
              <c:tx>
                <c:rich>
                  <a:bodyPr/>
                  <a:lstStyle/>
                  <a:p>
                    <a:pPr>
                      <a:defRPr sz="800" b="0" i="0" u="none" strike="noStrike" baseline="0">
                        <a:solidFill>
                          <a:srgbClr val="000000"/>
                        </a:solidFill>
                        <a:latin typeface="Calibri"/>
                        <a:ea typeface="Calibri"/>
                        <a:cs typeface="Calibri"/>
                      </a:defRPr>
                    </a:pPr>
                    <a:r>
                      <a:t>Cambodia</a:t>
                    </a:r>
                  </a:p>
                </c:rich>
              </c:tx>
              <c:spPr>
                <a:noFill/>
                <a:ln w="25400">
                  <a:noFill/>
                </a:ln>
              </c:spPr>
            </c:dLbl>
            <c:dLbl>
              <c:idx val="8"/>
              <c:tx>
                <c:rich>
                  <a:bodyPr/>
                  <a:lstStyle/>
                  <a:p>
                    <a:pPr>
                      <a:defRPr sz="800" b="0" i="0" u="none" strike="noStrike" baseline="0">
                        <a:solidFill>
                          <a:srgbClr val="000000"/>
                        </a:solidFill>
                        <a:latin typeface="Calibri"/>
                        <a:ea typeface="Calibri"/>
                        <a:cs typeface="Calibri"/>
                      </a:defRPr>
                    </a:pPr>
                    <a:r>
                      <a:t>Cameroon</a:t>
                    </a:r>
                  </a:p>
                </c:rich>
              </c:tx>
              <c:spPr>
                <a:noFill/>
                <a:ln w="25400">
                  <a:noFill/>
                </a:ln>
              </c:spPr>
            </c:dLbl>
            <c:dLbl>
              <c:idx val="9"/>
              <c:tx>
                <c:rich>
                  <a:bodyPr/>
                  <a:lstStyle/>
                  <a:p>
                    <a:pPr>
                      <a:defRPr sz="800" b="0" i="0" u="none" strike="noStrike" baseline="0">
                        <a:solidFill>
                          <a:srgbClr val="000000"/>
                        </a:solidFill>
                        <a:latin typeface="Calibri"/>
                        <a:ea typeface="Calibri"/>
                        <a:cs typeface="Calibri"/>
                      </a:defRPr>
                    </a:pPr>
                    <a:r>
                      <a:t>Chile</a:t>
                    </a:r>
                  </a:p>
                </c:rich>
              </c:tx>
              <c:spPr>
                <a:noFill/>
                <a:ln w="25400">
                  <a:noFill/>
                </a:ln>
              </c:spPr>
            </c:dLbl>
            <c:dLbl>
              <c:idx val="10"/>
              <c:tx>
                <c:rich>
                  <a:bodyPr/>
                  <a:lstStyle/>
                  <a:p>
                    <a:pPr>
                      <a:defRPr sz="800" b="0" i="0" u="none" strike="noStrike" baseline="0">
                        <a:solidFill>
                          <a:srgbClr val="000000"/>
                        </a:solidFill>
                        <a:latin typeface="Calibri"/>
                        <a:ea typeface="Calibri"/>
                        <a:cs typeface="Calibri"/>
                      </a:defRPr>
                    </a:pPr>
                    <a:r>
                      <a:t>China</a:t>
                    </a:r>
                  </a:p>
                </c:rich>
              </c:tx>
              <c:spPr>
                <a:noFill/>
                <a:ln w="25400">
                  <a:noFill/>
                </a:ln>
              </c:spPr>
            </c:dLbl>
            <c:dLbl>
              <c:idx val="11"/>
              <c:tx>
                <c:rich>
                  <a:bodyPr/>
                  <a:lstStyle/>
                  <a:p>
                    <a:pPr>
                      <a:defRPr sz="800" b="0" i="0" u="none" strike="noStrike" baseline="0">
                        <a:solidFill>
                          <a:srgbClr val="000000"/>
                        </a:solidFill>
                        <a:latin typeface="Calibri"/>
                        <a:ea typeface="Calibri"/>
                        <a:cs typeface="Calibri"/>
                      </a:defRPr>
                    </a:pPr>
                    <a:r>
                      <a:t>Colombia</a:t>
                    </a:r>
                  </a:p>
                </c:rich>
              </c:tx>
              <c:spPr>
                <a:noFill/>
                <a:ln w="25400">
                  <a:noFill/>
                </a:ln>
              </c:spPr>
            </c:dLbl>
            <c:dLbl>
              <c:idx val="12"/>
              <c:tx>
                <c:rich>
                  <a:bodyPr/>
                  <a:lstStyle/>
                  <a:p>
                    <a:pPr>
                      <a:defRPr sz="800" b="0" i="0" u="none" strike="noStrike" baseline="0">
                        <a:solidFill>
                          <a:srgbClr val="000000"/>
                        </a:solidFill>
                        <a:latin typeface="Calibri"/>
                        <a:ea typeface="Calibri"/>
                        <a:cs typeface="Calibri"/>
                      </a:defRPr>
                    </a:pPr>
                    <a:r>
                      <a:t>Costa Rica</a:t>
                    </a:r>
                  </a:p>
                </c:rich>
              </c:tx>
              <c:spPr>
                <a:noFill/>
                <a:ln w="25400">
                  <a:noFill/>
                </a:ln>
              </c:spPr>
            </c:dLbl>
            <c:dLbl>
              <c:idx val="13"/>
              <c:tx>
                <c:rich>
                  <a:bodyPr/>
                  <a:lstStyle/>
                  <a:p>
                    <a:pPr>
                      <a:defRPr sz="800" b="0" i="0" u="none" strike="noStrike" baseline="0">
                        <a:solidFill>
                          <a:srgbClr val="000000"/>
                        </a:solidFill>
                        <a:latin typeface="Calibri"/>
                        <a:ea typeface="Calibri"/>
                        <a:cs typeface="Calibri"/>
                      </a:defRPr>
                    </a:pPr>
                    <a:r>
                      <a:t>Dominican Republic</a:t>
                    </a:r>
                  </a:p>
                </c:rich>
              </c:tx>
              <c:spPr>
                <a:noFill/>
                <a:ln w="25400">
                  <a:noFill/>
                </a:ln>
              </c:spPr>
            </c:dLbl>
            <c:dLbl>
              <c:idx val="14"/>
              <c:tx>
                <c:rich>
                  <a:bodyPr/>
                  <a:lstStyle/>
                  <a:p>
                    <a:pPr>
                      <a:defRPr sz="800" b="0" i="0" u="none" strike="noStrike" baseline="0">
                        <a:solidFill>
                          <a:srgbClr val="000000"/>
                        </a:solidFill>
                        <a:latin typeface="Calibri"/>
                        <a:ea typeface="Calibri"/>
                        <a:cs typeface="Calibri"/>
                      </a:defRPr>
                    </a:pPr>
                    <a:r>
                      <a:t>DRC</a:t>
                    </a:r>
                  </a:p>
                </c:rich>
              </c:tx>
              <c:spPr>
                <a:noFill/>
                <a:ln w="25400">
                  <a:noFill/>
                </a:ln>
              </c:spPr>
            </c:dLbl>
            <c:dLbl>
              <c:idx val="15"/>
              <c:tx>
                <c:rich>
                  <a:bodyPr/>
                  <a:lstStyle/>
                  <a:p>
                    <a:pPr>
                      <a:defRPr sz="800" b="0" i="0" u="none" strike="noStrike" baseline="0">
                        <a:solidFill>
                          <a:srgbClr val="000000"/>
                        </a:solidFill>
                        <a:latin typeface="Calibri"/>
                        <a:ea typeface="Calibri"/>
                        <a:cs typeface="Calibri"/>
                      </a:defRPr>
                    </a:pPr>
                    <a:r>
                      <a:t>Ecuador</a:t>
                    </a:r>
                  </a:p>
                </c:rich>
              </c:tx>
              <c:spPr>
                <a:noFill/>
                <a:ln w="25400">
                  <a:noFill/>
                </a:ln>
              </c:spPr>
            </c:dLbl>
            <c:dLbl>
              <c:idx val="16"/>
              <c:tx>
                <c:rich>
                  <a:bodyPr/>
                  <a:lstStyle/>
                  <a:p>
                    <a:pPr>
                      <a:defRPr sz="800" b="0" i="0" u="none" strike="noStrike" baseline="0">
                        <a:solidFill>
                          <a:srgbClr val="000000"/>
                        </a:solidFill>
                        <a:latin typeface="Calibri"/>
                        <a:ea typeface="Calibri"/>
                        <a:cs typeface="Calibri"/>
                      </a:defRPr>
                    </a:pPr>
                    <a:r>
                      <a:t>El Salvador</a:t>
                    </a:r>
                  </a:p>
                </c:rich>
              </c:tx>
              <c:spPr>
                <a:noFill/>
                <a:ln w="25400">
                  <a:noFill/>
                </a:ln>
              </c:spPr>
            </c:dLbl>
            <c:dLbl>
              <c:idx val="17"/>
              <c:tx>
                <c:rich>
                  <a:bodyPr/>
                  <a:lstStyle/>
                  <a:p>
                    <a:pPr>
                      <a:defRPr sz="800" b="0" i="0" u="none" strike="noStrike" baseline="0">
                        <a:solidFill>
                          <a:srgbClr val="000000"/>
                        </a:solidFill>
                        <a:latin typeface="Calibri"/>
                        <a:ea typeface="Calibri"/>
                        <a:cs typeface="Calibri"/>
                      </a:defRPr>
                    </a:pPr>
                    <a:r>
                      <a:t>Ethiopia</a:t>
                    </a:r>
                  </a:p>
                </c:rich>
              </c:tx>
              <c:spPr>
                <a:noFill/>
                <a:ln w="25400">
                  <a:noFill/>
                </a:ln>
              </c:spPr>
            </c:dLbl>
            <c:dLbl>
              <c:idx val="18"/>
              <c:tx>
                <c:rich>
                  <a:bodyPr/>
                  <a:lstStyle/>
                  <a:p>
                    <a:pPr>
                      <a:defRPr sz="800" b="0" i="0" u="none" strike="noStrike" baseline="0">
                        <a:solidFill>
                          <a:srgbClr val="000000"/>
                        </a:solidFill>
                        <a:latin typeface="Calibri"/>
                        <a:ea typeface="Calibri"/>
                        <a:cs typeface="Calibri"/>
                      </a:defRPr>
                    </a:pPr>
                    <a:r>
                      <a:t>Georgia</a:t>
                    </a:r>
                  </a:p>
                </c:rich>
              </c:tx>
              <c:spPr>
                <a:noFill/>
                <a:ln w="25400">
                  <a:noFill/>
                </a:ln>
              </c:spPr>
            </c:dLbl>
            <c:dLbl>
              <c:idx val="19"/>
              <c:tx>
                <c:rich>
                  <a:bodyPr/>
                  <a:lstStyle/>
                  <a:p>
                    <a:pPr>
                      <a:defRPr sz="800" b="0" i="0" u="none" strike="noStrike" baseline="0">
                        <a:solidFill>
                          <a:srgbClr val="000000"/>
                        </a:solidFill>
                        <a:latin typeface="Calibri"/>
                        <a:ea typeface="Calibri"/>
                        <a:cs typeface="Calibri"/>
                      </a:defRPr>
                    </a:pPr>
                    <a:r>
                      <a:t>Ghana</a:t>
                    </a:r>
                  </a:p>
                </c:rich>
              </c:tx>
              <c:spPr>
                <a:noFill/>
                <a:ln w="25400">
                  <a:noFill/>
                </a:ln>
              </c:spPr>
            </c:dLbl>
            <c:dLbl>
              <c:idx val="20"/>
              <c:tx>
                <c:rich>
                  <a:bodyPr/>
                  <a:lstStyle/>
                  <a:p>
                    <a:pPr>
                      <a:defRPr sz="800" b="0" i="0" u="none" strike="noStrike" baseline="0">
                        <a:solidFill>
                          <a:srgbClr val="000000"/>
                        </a:solidFill>
                        <a:latin typeface="Calibri"/>
                        <a:ea typeface="Calibri"/>
                        <a:cs typeface="Calibri"/>
                      </a:defRPr>
                    </a:pPr>
                    <a:r>
                      <a:t>Guatemala</a:t>
                    </a:r>
                  </a:p>
                </c:rich>
              </c:tx>
              <c:spPr>
                <a:noFill/>
                <a:ln w="25400">
                  <a:noFill/>
                </a:ln>
              </c:spPr>
            </c:dLbl>
            <c:dLbl>
              <c:idx val="21"/>
              <c:tx>
                <c:rich>
                  <a:bodyPr/>
                  <a:lstStyle/>
                  <a:p>
                    <a:pPr>
                      <a:defRPr sz="800" b="0" i="0" u="none" strike="noStrike" baseline="0">
                        <a:solidFill>
                          <a:srgbClr val="000000"/>
                        </a:solidFill>
                        <a:latin typeface="Calibri"/>
                        <a:ea typeface="Calibri"/>
                        <a:cs typeface="Calibri"/>
                      </a:defRPr>
                    </a:pPr>
                    <a:r>
                      <a:t>Haiti</a:t>
                    </a:r>
                  </a:p>
                </c:rich>
              </c:tx>
              <c:spPr>
                <a:noFill/>
                <a:ln w="25400">
                  <a:noFill/>
                </a:ln>
              </c:spPr>
            </c:dLbl>
            <c:dLbl>
              <c:idx val="22"/>
              <c:tx>
                <c:rich>
                  <a:bodyPr/>
                  <a:lstStyle/>
                  <a:p>
                    <a:pPr>
                      <a:defRPr sz="800" b="0" i="0" u="none" strike="noStrike" baseline="0">
                        <a:solidFill>
                          <a:srgbClr val="000000"/>
                        </a:solidFill>
                        <a:latin typeface="Calibri"/>
                        <a:ea typeface="Calibri"/>
                        <a:cs typeface="Calibri"/>
                      </a:defRPr>
                    </a:pPr>
                    <a:r>
                      <a:t>Honduras</a:t>
                    </a:r>
                  </a:p>
                </c:rich>
              </c:tx>
              <c:spPr>
                <a:noFill/>
                <a:ln w="25400">
                  <a:noFill/>
                </a:ln>
              </c:spPr>
            </c:dLbl>
            <c:dLbl>
              <c:idx val="23"/>
              <c:tx>
                <c:rich>
                  <a:bodyPr/>
                  <a:lstStyle/>
                  <a:p>
                    <a:pPr>
                      <a:defRPr sz="800" b="0" i="0" u="none" strike="noStrike" baseline="0">
                        <a:solidFill>
                          <a:srgbClr val="000000"/>
                        </a:solidFill>
                        <a:latin typeface="Calibri"/>
                        <a:ea typeface="Calibri"/>
                        <a:cs typeface="Calibri"/>
                      </a:defRPr>
                    </a:pPr>
                    <a:r>
                      <a:t>India</a:t>
                    </a:r>
                  </a:p>
                </c:rich>
              </c:tx>
              <c:spPr>
                <a:noFill/>
                <a:ln w="25400">
                  <a:noFill/>
                </a:ln>
              </c:spPr>
            </c:dLbl>
            <c:dLbl>
              <c:idx val="24"/>
              <c:tx>
                <c:rich>
                  <a:bodyPr/>
                  <a:lstStyle/>
                  <a:p>
                    <a:pPr>
                      <a:defRPr sz="800" b="0" i="0" u="none" strike="noStrike" baseline="0">
                        <a:solidFill>
                          <a:srgbClr val="000000"/>
                        </a:solidFill>
                        <a:latin typeface="Calibri"/>
                        <a:ea typeface="Calibri"/>
                        <a:cs typeface="Calibri"/>
                      </a:defRPr>
                    </a:pPr>
                    <a:r>
                      <a:t>Indonesia</a:t>
                    </a:r>
                  </a:p>
                </c:rich>
              </c:tx>
              <c:spPr>
                <a:noFill/>
                <a:ln w="25400">
                  <a:noFill/>
                </a:ln>
              </c:spPr>
            </c:dLbl>
            <c:dLbl>
              <c:idx val="25"/>
              <c:tx>
                <c:rich>
                  <a:bodyPr/>
                  <a:lstStyle/>
                  <a:p>
                    <a:pPr>
                      <a:defRPr sz="800" b="0" i="0" u="none" strike="noStrike" baseline="0">
                        <a:solidFill>
                          <a:srgbClr val="000000"/>
                        </a:solidFill>
                        <a:latin typeface="Calibri"/>
                        <a:ea typeface="Calibri"/>
                        <a:cs typeface="Calibri"/>
                      </a:defRPr>
                    </a:pPr>
                    <a:r>
                      <a:t>Jamaica</a:t>
                    </a:r>
                  </a:p>
                </c:rich>
              </c:tx>
              <c:spPr>
                <a:noFill/>
                <a:ln w="25400">
                  <a:noFill/>
                </a:ln>
              </c:spPr>
            </c:dLbl>
            <c:dLbl>
              <c:idx val="26"/>
              <c:tx>
                <c:rich>
                  <a:bodyPr/>
                  <a:lstStyle/>
                  <a:p>
                    <a:pPr>
                      <a:defRPr sz="800" b="0" i="0" u="none" strike="noStrike" baseline="0">
                        <a:solidFill>
                          <a:srgbClr val="000000"/>
                        </a:solidFill>
                        <a:latin typeface="Calibri"/>
                        <a:ea typeface="Calibri"/>
                        <a:cs typeface="Calibri"/>
                      </a:defRPr>
                    </a:pPr>
                    <a:r>
                      <a:t>Kenya</a:t>
                    </a:r>
                  </a:p>
                </c:rich>
              </c:tx>
              <c:spPr>
                <a:noFill/>
                <a:ln w="25400">
                  <a:noFill/>
                </a:ln>
              </c:spPr>
            </c:dLbl>
            <c:dLbl>
              <c:idx val="27"/>
              <c:tx>
                <c:rich>
                  <a:bodyPr/>
                  <a:lstStyle/>
                  <a:p>
                    <a:pPr>
                      <a:defRPr sz="800" b="0" i="0" u="none" strike="noStrike" baseline="0">
                        <a:solidFill>
                          <a:srgbClr val="000000"/>
                        </a:solidFill>
                        <a:latin typeface="Calibri"/>
                        <a:ea typeface="Calibri"/>
                        <a:cs typeface="Calibri"/>
                      </a:defRPr>
                    </a:pPr>
                    <a:r>
                      <a:t>Kyrgyzstan</a:t>
                    </a:r>
                  </a:p>
                </c:rich>
              </c:tx>
              <c:spPr>
                <a:noFill/>
                <a:ln w="25400">
                  <a:noFill/>
                </a:ln>
              </c:spPr>
            </c:dLbl>
            <c:dLbl>
              <c:idx val="28"/>
              <c:tx>
                <c:rich>
                  <a:bodyPr/>
                  <a:lstStyle/>
                  <a:p>
                    <a:pPr>
                      <a:defRPr sz="800" b="0" i="0" u="none" strike="noStrike" baseline="0">
                        <a:solidFill>
                          <a:srgbClr val="000000"/>
                        </a:solidFill>
                        <a:latin typeface="Calibri"/>
                        <a:ea typeface="Calibri"/>
                        <a:cs typeface="Calibri"/>
                      </a:defRPr>
                    </a:pPr>
                    <a:r>
                      <a:t>Lebanon</a:t>
                    </a:r>
                  </a:p>
                </c:rich>
              </c:tx>
              <c:spPr>
                <a:noFill/>
                <a:ln w="25400">
                  <a:noFill/>
                </a:ln>
              </c:spPr>
            </c:dLbl>
            <c:dLbl>
              <c:idx val="29"/>
              <c:tx>
                <c:rich>
                  <a:bodyPr/>
                  <a:lstStyle/>
                  <a:p>
                    <a:pPr>
                      <a:defRPr sz="800" b="0" i="0" u="none" strike="noStrike" baseline="0">
                        <a:solidFill>
                          <a:srgbClr val="000000"/>
                        </a:solidFill>
                        <a:latin typeface="Calibri"/>
                        <a:ea typeface="Calibri"/>
                        <a:cs typeface="Calibri"/>
                      </a:defRPr>
                    </a:pPr>
                    <a:r>
                      <a:t>Madagascar</a:t>
                    </a:r>
                  </a:p>
                </c:rich>
              </c:tx>
              <c:spPr>
                <a:noFill/>
                <a:ln w="25400">
                  <a:noFill/>
                </a:ln>
              </c:spPr>
            </c:dLbl>
            <c:dLbl>
              <c:idx val="30"/>
              <c:tx>
                <c:rich>
                  <a:bodyPr/>
                  <a:lstStyle/>
                  <a:p>
                    <a:pPr>
                      <a:defRPr sz="800" b="0" i="0" u="none" strike="noStrike" baseline="0">
                        <a:solidFill>
                          <a:srgbClr val="000000"/>
                        </a:solidFill>
                        <a:latin typeface="Calibri"/>
                        <a:ea typeface="Calibri"/>
                        <a:cs typeface="Calibri"/>
                      </a:defRPr>
                    </a:pPr>
                    <a:r>
                      <a:t>Mexico</a:t>
                    </a:r>
                  </a:p>
                </c:rich>
              </c:tx>
              <c:spPr>
                <a:noFill/>
                <a:ln w="25400">
                  <a:noFill/>
                </a:ln>
              </c:spPr>
            </c:dLbl>
            <c:dLbl>
              <c:idx val="31"/>
              <c:tx>
                <c:rich>
                  <a:bodyPr/>
                  <a:lstStyle/>
                  <a:p>
                    <a:pPr>
                      <a:defRPr sz="800" b="0" i="0" u="none" strike="noStrike" baseline="0">
                        <a:solidFill>
                          <a:srgbClr val="000000"/>
                        </a:solidFill>
                        <a:latin typeface="Calibri"/>
                        <a:ea typeface="Calibri"/>
                        <a:cs typeface="Calibri"/>
                      </a:defRPr>
                    </a:pPr>
                    <a:r>
                      <a:t>Mongolia</a:t>
                    </a:r>
                  </a:p>
                </c:rich>
              </c:tx>
              <c:spPr>
                <a:noFill/>
                <a:ln w="25400">
                  <a:noFill/>
                </a:ln>
              </c:spPr>
            </c:dLbl>
            <c:dLbl>
              <c:idx val="32"/>
              <c:tx>
                <c:rich>
                  <a:bodyPr/>
                  <a:lstStyle/>
                  <a:p>
                    <a:pPr>
                      <a:defRPr sz="800" b="0" i="0" u="none" strike="noStrike" baseline="0">
                        <a:solidFill>
                          <a:srgbClr val="000000"/>
                        </a:solidFill>
                        <a:latin typeface="Calibri"/>
                        <a:ea typeface="Calibri"/>
                        <a:cs typeface="Calibri"/>
                      </a:defRPr>
                    </a:pPr>
                    <a:r>
                      <a:t>Morocco</a:t>
                    </a:r>
                  </a:p>
                </c:rich>
              </c:tx>
              <c:spPr>
                <a:noFill/>
                <a:ln w="25400">
                  <a:noFill/>
                </a:ln>
              </c:spPr>
            </c:dLbl>
            <c:dLbl>
              <c:idx val="33"/>
              <c:tx>
                <c:rich>
                  <a:bodyPr/>
                  <a:lstStyle/>
                  <a:p>
                    <a:pPr>
                      <a:defRPr sz="800" b="0" i="0" u="none" strike="noStrike" baseline="0">
                        <a:solidFill>
                          <a:srgbClr val="000000"/>
                        </a:solidFill>
                        <a:latin typeface="Calibri"/>
                        <a:ea typeface="Calibri"/>
                        <a:cs typeface="Calibri"/>
                      </a:defRPr>
                    </a:pPr>
                    <a:r>
                      <a:t>Mozambique</a:t>
                    </a:r>
                  </a:p>
                </c:rich>
              </c:tx>
              <c:spPr>
                <a:noFill/>
                <a:ln w="25400">
                  <a:noFill/>
                </a:ln>
              </c:spPr>
            </c:dLbl>
            <c:dLbl>
              <c:idx val="34"/>
              <c:tx>
                <c:rich>
                  <a:bodyPr/>
                  <a:lstStyle/>
                  <a:p>
                    <a:pPr>
                      <a:defRPr sz="800" b="0" i="0" u="none" strike="noStrike" baseline="0">
                        <a:solidFill>
                          <a:srgbClr val="000000"/>
                        </a:solidFill>
                        <a:latin typeface="Calibri"/>
                        <a:ea typeface="Calibri"/>
                        <a:cs typeface="Calibri"/>
                      </a:defRPr>
                    </a:pPr>
                    <a:r>
                      <a:t>Nepal</a:t>
                    </a:r>
                  </a:p>
                </c:rich>
              </c:tx>
              <c:spPr>
                <a:noFill/>
                <a:ln w="25400">
                  <a:noFill/>
                </a:ln>
              </c:spPr>
            </c:dLbl>
            <c:dLbl>
              <c:idx val="35"/>
              <c:tx>
                <c:rich>
                  <a:bodyPr/>
                  <a:lstStyle/>
                  <a:p>
                    <a:pPr>
                      <a:defRPr sz="800" b="0" i="0" u="none" strike="noStrike" baseline="0">
                        <a:solidFill>
                          <a:srgbClr val="000000"/>
                        </a:solidFill>
                        <a:latin typeface="Calibri"/>
                        <a:ea typeface="Calibri"/>
                        <a:cs typeface="Calibri"/>
                      </a:defRPr>
                    </a:pPr>
                    <a:r>
                      <a:t>Nicaragua</a:t>
                    </a:r>
                  </a:p>
                </c:rich>
              </c:tx>
              <c:spPr>
                <a:noFill/>
                <a:ln w="25400">
                  <a:noFill/>
                </a:ln>
              </c:spPr>
            </c:dLbl>
            <c:dLbl>
              <c:idx val="36"/>
              <c:tx>
                <c:rich>
                  <a:bodyPr/>
                  <a:lstStyle/>
                  <a:p>
                    <a:pPr>
                      <a:defRPr sz="800" b="0" i="0" u="none" strike="noStrike" baseline="0">
                        <a:solidFill>
                          <a:srgbClr val="000000"/>
                        </a:solidFill>
                        <a:latin typeface="Calibri"/>
                        <a:ea typeface="Calibri"/>
                        <a:cs typeface="Calibri"/>
                      </a:defRPr>
                    </a:pPr>
                    <a:r>
                      <a:t>Nigeria</a:t>
                    </a:r>
                  </a:p>
                </c:rich>
              </c:tx>
              <c:spPr>
                <a:noFill/>
                <a:ln w="25400">
                  <a:noFill/>
                </a:ln>
              </c:spPr>
            </c:dLbl>
            <c:dLbl>
              <c:idx val="37"/>
              <c:tx>
                <c:rich>
                  <a:bodyPr/>
                  <a:lstStyle/>
                  <a:p>
                    <a:pPr>
                      <a:defRPr sz="800" b="0" i="0" u="none" strike="noStrike" baseline="0">
                        <a:solidFill>
                          <a:srgbClr val="000000"/>
                        </a:solidFill>
                        <a:latin typeface="Calibri"/>
                        <a:ea typeface="Calibri"/>
                        <a:cs typeface="Calibri"/>
                      </a:defRPr>
                    </a:pPr>
                    <a:r>
                      <a:t>Pakistan</a:t>
                    </a:r>
                  </a:p>
                </c:rich>
              </c:tx>
              <c:spPr>
                <a:noFill/>
                <a:ln w="25400">
                  <a:noFill/>
                </a:ln>
              </c:spPr>
            </c:dLbl>
            <c:dLbl>
              <c:idx val="38"/>
              <c:tx>
                <c:rich>
                  <a:bodyPr/>
                  <a:lstStyle/>
                  <a:p>
                    <a:pPr>
                      <a:defRPr sz="800" b="0" i="0" u="none" strike="noStrike" baseline="0">
                        <a:solidFill>
                          <a:srgbClr val="000000"/>
                        </a:solidFill>
                        <a:latin typeface="Calibri"/>
                        <a:ea typeface="Calibri"/>
                        <a:cs typeface="Calibri"/>
                      </a:defRPr>
                    </a:pPr>
                    <a:r>
                      <a:t>Panama</a:t>
                    </a:r>
                  </a:p>
                </c:rich>
              </c:tx>
              <c:spPr>
                <a:noFill/>
                <a:ln w="25400">
                  <a:noFill/>
                </a:ln>
              </c:spPr>
            </c:dLbl>
            <c:dLbl>
              <c:idx val="39"/>
              <c:tx>
                <c:rich>
                  <a:bodyPr/>
                  <a:lstStyle/>
                  <a:p>
                    <a:pPr>
                      <a:defRPr sz="800" b="0" i="0" u="none" strike="noStrike" baseline="0">
                        <a:solidFill>
                          <a:srgbClr val="000000"/>
                        </a:solidFill>
                        <a:latin typeface="Calibri"/>
                        <a:ea typeface="Calibri"/>
                        <a:cs typeface="Calibri"/>
                      </a:defRPr>
                    </a:pPr>
                    <a:r>
                      <a:t>Paraguay</a:t>
                    </a:r>
                  </a:p>
                </c:rich>
              </c:tx>
              <c:spPr>
                <a:noFill/>
                <a:ln w="25400">
                  <a:noFill/>
                </a:ln>
              </c:spPr>
            </c:dLbl>
            <c:dLbl>
              <c:idx val="40"/>
              <c:tx>
                <c:rich>
                  <a:bodyPr/>
                  <a:lstStyle/>
                  <a:p>
                    <a:pPr>
                      <a:defRPr sz="800" b="0" i="0" u="none" strike="noStrike" baseline="0">
                        <a:solidFill>
                          <a:srgbClr val="000000"/>
                        </a:solidFill>
                        <a:latin typeface="Calibri"/>
                        <a:ea typeface="Calibri"/>
                        <a:cs typeface="Calibri"/>
                      </a:defRPr>
                    </a:pPr>
                    <a:r>
                      <a:t>Peru</a:t>
                    </a:r>
                  </a:p>
                </c:rich>
              </c:tx>
              <c:spPr>
                <a:noFill/>
                <a:ln w="25400">
                  <a:noFill/>
                </a:ln>
              </c:spPr>
            </c:dLbl>
            <c:dLbl>
              <c:idx val="41"/>
              <c:tx>
                <c:rich>
                  <a:bodyPr/>
                  <a:lstStyle/>
                  <a:p>
                    <a:pPr>
                      <a:defRPr sz="800" b="0" i="0" u="none" strike="noStrike" baseline="0">
                        <a:solidFill>
                          <a:srgbClr val="000000"/>
                        </a:solidFill>
                        <a:latin typeface="Calibri"/>
                        <a:ea typeface="Calibri"/>
                        <a:cs typeface="Calibri"/>
                      </a:defRPr>
                    </a:pPr>
                    <a:r>
                      <a:t>Philippines</a:t>
                    </a:r>
                  </a:p>
                </c:rich>
              </c:tx>
              <c:spPr>
                <a:noFill/>
                <a:ln w="25400">
                  <a:noFill/>
                </a:ln>
              </c:spPr>
            </c:dLbl>
            <c:dLbl>
              <c:idx val="42"/>
              <c:tx>
                <c:rich>
                  <a:bodyPr/>
                  <a:lstStyle/>
                  <a:p>
                    <a:pPr>
                      <a:defRPr sz="800" b="0" i="0" u="none" strike="noStrike" baseline="0">
                        <a:solidFill>
                          <a:srgbClr val="000000"/>
                        </a:solidFill>
                        <a:latin typeface="Calibri"/>
                        <a:ea typeface="Calibri"/>
                        <a:cs typeface="Calibri"/>
                      </a:defRPr>
                    </a:pPr>
                    <a:r>
                      <a:t>Rwanda</a:t>
                    </a:r>
                  </a:p>
                </c:rich>
              </c:tx>
              <c:spPr>
                <a:noFill/>
                <a:ln w="25400">
                  <a:noFill/>
                </a:ln>
              </c:spPr>
            </c:dLbl>
            <c:dLbl>
              <c:idx val="43"/>
              <c:tx>
                <c:rich>
                  <a:bodyPr/>
                  <a:lstStyle/>
                  <a:p>
                    <a:pPr>
                      <a:defRPr sz="800" b="0" i="0" u="none" strike="noStrike" baseline="0">
                        <a:solidFill>
                          <a:srgbClr val="000000"/>
                        </a:solidFill>
                        <a:latin typeface="Calibri"/>
                        <a:ea typeface="Calibri"/>
                        <a:cs typeface="Calibri"/>
                      </a:defRPr>
                    </a:pPr>
                    <a:r>
                      <a:t>Senegal</a:t>
                    </a:r>
                  </a:p>
                </c:rich>
              </c:tx>
              <c:spPr>
                <a:noFill/>
                <a:ln w="25400">
                  <a:noFill/>
                </a:ln>
              </c:spPr>
            </c:dLbl>
            <c:dLbl>
              <c:idx val="44"/>
              <c:tx>
                <c:rich>
                  <a:bodyPr/>
                  <a:lstStyle/>
                  <a:p>
                    <a:pPr>
                      <a:defRPr sz="800" b="0" i="0" u="none" strike="noStrike" baseline="0">
                        <a:solidFill>
                          <a:srgbClr val="000000"/>
                        </a:solidFill>
                        <a:latin typeface="Calibri"/>
                        <a:ea typeface="Calibri"/>
                        <a:cs typeface="Calibri"/>
                      </a:defRPr>
                    </a:pPr>
                    <a:r>
                      <a:t>Sri Lanka</a:t>
                    </a:r>
                  </a:p>
                </c:rich>
              </c:tx>
              <c:spPr>
                <a:noFill/>
                <a:ln w="25400">
                  <a:noFill/>
                </a:ln>
              </c:spPr>
            </c:dLbl>
            <c:dLbl>
              <c:idx val="45"/>
              <c:tx>
                <c:rich>
                  <a:bodyPr/>
                  <a:lstStyle/>
                  <a:p>
                    <a:pPr>
                      <a:defRPr sz="800" b="0" i="0" u="none" strike="noStrike" baseline="0">
                        <a:solidFill>
                          <a:srgbClr val="000000"/>
                        </a:solidFill>
                        <a:latin typeface="Calibri"/>
                        <a:ea typeface="Calibri"/>
                        <a:cs typeface="Calibri"/>
                      </a:defRPr>
                    </a:pPr>
                    <a:r>
                      <a:t>Tajikistan</a:t>
                    </a:r>
                  </a:p>
                </c:rich>
              </c:tx>
              <c:spPr>
                <a:noFill/>
                <a:ln w="25400">
                  <a:noFill/>
                </a:ln>
              </c:spPr>
            </c:dLbl>
            <c:dLbl>
              <c:idx val="46"/>
              <c:tx>
                <c:rich>
                  <a:bodyPr/>
                  <a:lstStyle/>
                  <a:p>
                    <a:pPr>
                      <a:defRPr sz="800" b="0" i="0" u="none" strike="noStrike" baseline="0">
                        <a:solidFill>
                          <a:srgbClr val="000000"/>
                        </a:solidFill>
                        <a:latin typeface="Calibri"/>
                        <a:ea typeface="Calibri"/>
                        <a:cs typeface="Calibri"/>
                      </a:defRPr>
                    </a:pPr>
                    <a:r>
                      <a:t>Tanzania</a:t>
                    </a:r>
                  </a:p>
                </c:rich>
              </c:tx>
              <c:spPr>
                <a:noFill/>
                <a:ln w="25400">
                  <a:noFill/>
                </a:ln>
              </c:spPr>
            </c:dLbl>
            <c:dLbl>
              <c:idx val="47"/>
              <c:tx>
                <c:rich>
                  <a:bodyPr/>
                  <a:lstStyle/>
                  <a:p>
                    <a:pPr>
                      <a:defRPr sz="800" b="0" i="0" u="none" strike="noStrike" baseline="0">
                        <a:solidFill>
                          <a:srgbClr val="000000"/>
                        </a:solidFill>
                        <a:latin typeface="Calibri"/>
                        <a:ea typeface="Calibri"/>
                        <a:cs typeface="Calibri"/>
                      </a:defRPr>
                    </a:pPr>
                    <a:r>
                      <a:t>Thailand</a:t>
                    </a:r>
                  </a:p>
                </c:rich>
              </c:tx>
              <c:spPr>
                <a:noFill/>
                <a:ln w="25400">
                  <a:noFill/>
                </a:ln>
              </c:spPr>
            </c:dLbl>
            <c:dLbl>
              <c:idx val="48"/>
              <c:tx>
                <c:rich>
                  <a:bodyPr/>
                  <a:lstStyle/>
                  <a:p>
                    <a:pPr>
                      <a:defRPr sz="800" b="0" i="0" u="none" strike="noStrike" baseline="0">
                        <a:solidFill>
                          <a:srgbClr val="000000"/>
                        </a:solidFill>
                        <a:latin typeface="Calibri"/>
                        <a:ea typeface="Calibri"/>
                        <a:cs typeface="Calibri"/>
                      </a:defRPr>
                    </a:pPr>
                    <a:r>
                      <a:t>Trinidad and Tobago</a:t>
                    </a:r>
                  </a:p>
                </c:rich>
              </c:tx>
              <c:spPr>
                <a:noFill/>
                <a:ln w="25400">
                  <a:noFill/>
                </a:ln>
              </c:spPr>
            </c:dLbl>
            <c:dLbl>
              <c:idx val="49"/>
              <c:tx>
                <c:rich>
                  <a:bodyPr/>
                  <a:lstStyle/>
                  <a:p>
                    <a:pPr>
                      <a:defRPr sz="800" b="0" i="0" u="none" strike="noStrike" baseline="0">
                        <a:solidFill>
                          <a:srgbClr val="000000"/>
                        </a:solidFill>
                        <a:latin typeface="Calibri"/>
                        <a:ea typeface="Calibri"/>
                        <a:cs typeface="Calibri"/>
                      </a:defRPr>
                    </a:pPr>
                    <a:r>
                      <a:t>Turkey</a:t>
                    </a:r>
                  </a:p>
                </c:rich>
              </c:tx>
              <c:spPr>
                <a:noFill/>
                <a:ln w="25400">
                  <a:noFill/>
                </a:ln>
              </c:spPr>
            </c:dLbl>
            <c:dLbl>
              <c:idx val="50"/>
              <c:tx>
                <c:rich>
                  <a:bodyPr/>
                  <a:lstStyle/>
                  <a:p>
                    <a:pPr>
                      <a:defRPr sz="800" b="0" i="0" u="none" strike="noStrike" baseline="0">
                        <a:solidFill>
                          <a:srgbClr val="000000"/>
                        </a:solidFill>
                        <a:latin typeface="Calibri"/>
                        <a:ea typeface="Calibri"/>
                        <a:cs typeface="Calibri"/>
                      </a:defRPr>
                    </a:pPr>
                    <a:r>
                      <a:t>Uganda</a:t>
                    </a:r>
                  </a:p>
                </c:rich>
              </c:tx>
              <c:spPr>
                <a:noFill/>
                <a:ln w="25400">
                  <a:noFill/>
                </a:ln>
              </c:spPr>
            </c:dLbl>
            <c:dLbl>
              <c:idx val="51"/>
              <c:tx>
                <c:rich>
                  <a:bodyPr/>
                  <a:lstStyle/>
                  <a:p>
                    <a:pPr>
                      <a:defRPr sz="800" b="0" i="0" u="none" strike="noStrike" baseline="0">
                        <a:solidFill>
                          <a:srgbClr val="000000"/>
                        </a:solidFill>
                        <a:latin typeface="Calibri"/>
                        <a:ea typeface="Calibri"/>
                        <a:cs typeface="Calibri"/>
                      </a:defRPr>
                    </a:pPr>
                    <a:r>
                      <a:t>Uruguay</a:t>
                    </a:r>
                  </a:p>
                </c:rich>
              </c:tx>
              <c:spPr>
                <a:noFill/>
                <a:ln w="25400">
                  <a:noFill/>
                </a:ln>
              </c:spPr>
            </c:dLbl>
            <c:dLbl>
              <c:idx val="52"/>
              <c:tx>
                <c:rich>
                  <a:bodyPr/>
                  <a:lstStyle/>
                  <a:p>
                    <a:pPr>
                      <a:defRPr sz="800" b="0" i="0" u="none" strike="noStrike" baseline="0">
                        <a:solidFill>
                          <a:srgbClr val="000000"/>
                        </a:solidFill>
                        <a:latin typeface="Calibri"/>
                        <a:ea typeface="Calibri"/>
                        <a:cs typeface="Calibri"/>
                      </a:defRPr>
                    </a:pPr>
                    <a:r>
                      <a:t>Venezuela</a:t>
                    </a:r>
                  </a:p>
                </c:rich>
              </c:tx>
              <c:spPr>
                <a:noFill/>
                <a:ln w="25400">
                  <a:noFill/>
                </a:ln>
              </c:spPr>
            </c:dLbl>
            <c:dLbl>
              <c:idx val="53"/>
              <c:tx>
                <c:rich>
                  <a:bodyPr/>
                  <a:lstStyle/>
                  <a:p>
                    <a:pPr>
                      <a:defRPr sz="800" b="0" i="0" u="none" strike="noStrike" baseline="0">
                        <a:solidFill>
                          <a:srgbClr val="000000"/>
                        </a:solidFill>
                        <a:latin typeface="Calibri"/>
                        <a:ea typeface="Calibri"/>
                        <a:cs typeface="Calibri"/>
                      </a:defRPr>
                    </a:pPr>
                    <a:r>
                      <a:t>Vietnam</a:t>
                    </a:r>
                  </a:p>
                </c:rich>
              </c:tx>
              <c:spPr>
                <a:noFill/>
                <a:ln w="25400">
                  <a:noFill/>
                </a:ln>
              </c:spPr>
            </c:dLbl>
            <c:dLbl>
              <c:idx val="54"/>
              <c:tx>
                <c:rich>
                  <a:bodyPr/>
                  <a:lstStyle/>
                  <a:p>
                    <a:pPr>
                      <a:defRPr sz="800" b="0" i="0" u="none" strike="noStrike" baseline="0">
                        <a:solidFill>
                          <a:srgbClr val="000000"/>
                        </a:solidFill>
                        <a:latin typeface="Calibri"/>
                        <a:ea typeface="Calibri"/>
                        <a:cs typeface="Calibri"/>
                      </a:defRPr>
                    </a:pPr>
                    <a:r>
                      <a:t>Yemen</a:t>
                    </a:r>
                  </a:p>
                </c:rich>
              </c:tx>
              <c:spPr>
                <a:noFill/>
                <a:ln w="25400">
                  <a:noFill/>
                </a:ln>
              </c:spPr>
            </c:dLbl>
            <c:delete val="1"/>
          </c:dLbls>
          <c:xVal>
            <c:numRef>
              <c:f>i_scatter!$C$38:$BE$38</c:f>
              <c:numCache>
                <c:formatCode>General</c:formatCode>
                <c:ptCount val="55"/>
                <c:pt idx="0">
                  <c:v>30.8</c:v>
                </c:pt>
                <c:pt idx="1">
                  <c:v>43.9</c:v>
                </c:pt>
                <c:pt idx="2">
                  <c:v>29</c:v>
                </c:pt>
                <c:pt idx="3">
                  <c:v>42.7</c:v>
                </c:pt>
                <c:pt idx="4">
                  <c:v>71.7</c:v>
                </c:pt>
                <c:pt idx="5">
                  <c:v>43.1</c:v>
                </c:pt>
                <c:pt idx="6">
                  <c:v>44</c:v>
                </c:pt>
                <c:pt idx="7">
                  <c:v>54.1</c:v>
                </c:pt>
                <c:pt idx="8">
                  <c:v>31.6</c:v>
                </c:pt>
                <c:pt idx="9">
                  <c:v>48</c:v>
                </c:pt>
                <c:pt idx="10">
                  <c:v>34.1</c:v>
                </c:pt>
                <c:pt idx="11">
                  <c:v>58.6</c:v>
                </c:pt>
                <c:pt idx="12">
                  <c:v>42.5</c:v>
                </c:pt>
                <c:pt idx="13">
                  <c:v>47</c:v>
                </c:pt>
                <c:pt idx="14">
                  <c:v>36.799999999999997</c:v>
                </c:pt>
                <c:pt idx="15">
                  <c:v>59.7</c:v>
                </c:pt>
                <c:pt idx="16">
                  <c:v>57.5</c:v>
                </c:pt>
                <c:pt idx="17">
                  <c:v>31.3</c:v>
                </c:pt>
                <c:pt idx="18">
                  <c:v>45.1</c:v>
                </c:pt>
                <c:pt idx="19">
                  <c:v>60.9</c:v>
                </c:pt>
                <c:pt idx="20">
                  <c:v>51.8</c:v>
                </c:pt>
                <c:pt idx="21">
                  <c:v>33.4</c:v>
                </c:pt>
                <c:pt idx="22">
                  <c:v>49.3</c:v>
                </c:pt>
                <c:pt idx="23">
                  <c:v>62.1</c:v>
                </c:pt>
                <c:pt idx="24">
                  <c:v>35.200000000000003</c:v>
                </c:pt>
                <c:pt idx="25">
                  <c:v>23.7</c:v>
                </c:pt>
                <c:pt idx="26">
                  <c:v>55.8</c:v>
                </c:pt>
                <c:pt idx="27">
                  <c:v>56.2</c:v>
                </c:pt>
                <c:pt idx="28">
                  <c:v>29.3</c:v>
                </c:pt>
                <c:pt idx="29">
                  <c:v>32.299999999999997</c:v>
                </c:pt>
                <c:pt idx="30">
                  <c:v>47.3</c:v>
                </c:pt>
                <c:pt idx="31">
                  <c:v>30</c:v>
                </c:pt>
                <c:pt idx="32">
                  <c:v>30.3</c:v>
                </c:pt>
                <c:pt idx="33">
                  <c:v>40.299999999999997</c:v>
                </c:pt>
                <c:pt idx="34">
                  <c:v>30</c:v>
                </c:pt>
                <c:pt idx="35">
                  <c:v>58.7</c:v>
                </c:pt>
                <c:pt idx="36">
                  <c:v>39.4</c:v>
                </c:pt>
                <c:pt idx="37">
                  <c:v>56.5</c:v>
                </c:pt>
                <c:pt idx="38">
                  <c:v>50.9</c:v>
                </c:pt>
                <c:pt idx="39">
                  <c:v>49.5</c:v>
                </c:pt>
                <c:pt idx="40">
                  <c:v>73.8</c:v>
                </c:pt>
                <c:pt idx="41">
                  <c:v>68.400000000000006</c:v>
                </c:pt>
                <c:pt idx="42">
                  <c:v>38.6</c:v>
                </c:pt>
                <c:pt idx="43">
                  <c:v>32.6</c:v>
                </c:pt>
                <c:pt idx="44">
                  <c:v>40.4</c:v>
                </c:pt>
                <c:pt idx="45">
                  <c:v>40.4</c:v>
                </c:pt>
                <c:pt idx="46">
                  <c:v>48.4</c:v>
                </c:pt>
                <c:pt idx="47">
                  <c:v>21.2</c:v>
                </c:pt>
                <c:pt idx="48">
                  <c:v>22.9</c:v>
                </c:pt>
                <c:pt idx="49">
                  <c:v>30.3</c:v>
                </c:pt>
                <c:pt idx="50">
                  <c:v>57.5</c:v>
                </c:pt>
                <c:pt idx="51">
                  <c:v>28.4</c:v>
                </c:pt>
                <c:pt idx="52">
                  <c:v>24.1</c:v>
                </c:pt>
                <c:pt idx="53">
                  <c:v>21.6</c:v>
                </c:pt>
                <c:pt idx="54">
                  <c:v>42.1</c:v>
                </c:pt>
              </c:numCache>
            </c:numRef>
          </c:xVal>
          <c:yVal>
            <c:numRef>
              <c:f>i_scatter!$C$39:$BE$39</c:f>
              <c:numCache>
                <c:formatCode>General</c:formatCode>
                <c:ptCount val="55"/>
                <c:pt idx="0">
                  <c:v>1.2815557184120232</c:v>
                </c:pt>
                <c:pt idx="1">
                  <c:v>#N/A</c:v>
                </c:pt>
                <c:pt idx="2">
                  <c:v>#N/A</c:v>
                </c:pt>
                <c:pt idx="3">
                  <c:v>#N/A</c:v>
                </c:pt>
                <c:pt idx="4">
                  <c:v>44.625449447924396</c:v>
                </c:pt>
                <c:pt idx="5">
                  <c:v>#N/A</c:v>
                </c:pt>
                <c:pt idx="6">
                  <c:v>2.8750621210881939</c:v>
                </c:pt>
                <c:pt idx="7">
                  <c:v>#N/A</c:v>
                </c:pt>
                <c:pt idx="8">
                  <c:v>#N/A</c:v>
                </c:pt>
                <c:pt idx="9">
                  <c:v>13.88282130419311</c:v>
                </c:pt>
                <c:pt idx="10">
                  <c:v>#N/A</c:v>
                </c:pt>
                <c:pt idx="11">
                  <c:v>11.591768668724008</c:v>
                </c:pt>
                <c:pt idx="12">
                  <c:v>15.8781491337601</c:v>
                </c:pt>
                <c:pt idx="13">
                  <c:v>15.573619738159342</c:v>
                </c:pt>
                <c:pt idx="14">
                  <c:v>#N/A</c:v>
                </c:pt>
                <c:pt idx="15">
                  <c:v>47.48838045137019</c:v>
                </c:pt>
                <c:pt idx="16">
                  <c:v>35.793202436844965</c:v>
                </c:pt>
                <c:pt idx="17">
                  <c:v>#N/A</c:v>
                </c:pt>
                <c:pt idx="18">
                  <c:v>#N/A</c:v>
                </c:pt>
                <c:pt idx="19">
                  <c:v>#N/A</c:v>
                </c:pt>
                <c:pt idx="20">
                  <c:v>21.012528724627639</c:v>
                </c:pt>
                <c:pt idx="21">
                  <c:v>#N/A</c:v>
                </c:pt>
                <c:pt idx="22">
                  <c:v>17.811886880880195</c:v>
                </c:pt>
                <c:pt idx="23">
                  <c:v>#N/A</c:v>
                </c:pt>
                <c:pt idx="24">
                  <c:v>#N/A</c:v>
                </c:pt>
                <c:pt idx="25">
                  <c:v>#N/A</c:v>
                </c:pt>
                <c:pt idx="26">
                  <c:v>#N/A</c:v>
                </c:pt>
                <c:pt idx="27">
                  <c:v>#N/A</c:v>
                </c:pt>
                <c:pt idx="28">
                  <c:v>#N/A</c:v>
                </c:pt>
                <c:pt idx="29">
                  <c:v>#N/A</c:v>
                </c:pt>
                <c:pt idx="30">
                  <c:v>17.446465245547422</c:v>
                </c:pt>
                <c:pt idx="31">
                  <c:v>#N/A</c:v>
                </c:pt>
                <c:pt idx="32">
                  <c:v>#N/A</c:v>
                </c:pt>
                <c:pt idx="33">
                  <c:v>#N/A</c:v>
                </c:pt>
                <c:pt idx="34">
                  <c:v>#N/A</c:v>
                </c:pt>
                <c:pt idx="35">
                  <c:v>58.715065084093169</c:v>
                </c:pt>
                <c:pt idx="36">
                  <c:v>#N/A</c:v>
                </c:pt>
                <c:pt idx="37">
                  <c:v>#N/A</c:v>
                </c:pt>
                <c:pt idx="38">
                  <c:v>4.9016220366637873</c:v>
                </c:pt>
                <c:pt idx="39">
                  <c:v>17.788631651236457</c:v>
                </c:pt>
                <c:pt idx="40">
                  <c:v>31.25358565943796</c:v>
                </c:pt>
                <c:pt idx="41">
                  <c:v>#N/A</c:v>
                </c:pt>
                <c:pt idx="42">
                  <c:v>#N/A</c:v>
                </c:pt>
                <c:pt idx="43">
                  <c:v>#N/A</c:v>
                </c:pt>
                <c:pt idx="44">
                  <c:v>#N/A</c:v>
                </c:pt>
                <c:pt idx="45">
                  <c:v>#N/A</c:v>
                </c:pt>
                <c:pt idx="46">
                  <c:v>#N/A</c:v>
                </c:pt>
                <c:pt idx="47">
                  <c:v>#N/A</c:v>
                </c:pt>
                <c:pt idx="48">
                  <c:v>#N/A</c:v>
                </c:pt>
                <c:pt idx="49">
                  <c:v>#N/A</c:v>
                </c:pt>
                <c:pt idx="50">
                  <c:v>#N/A</c:v>
                </c:pt>
                <c:pt idx="51">
                  <c:v>2.5682215463084912</c:v>
                </c:pt>
                <c:pt idx="52">
                  <c:v>1.3584964058778015</c:v>
                </c:pt>
                <c:pt idx="53">
                  <c:v>#N/A</c:v>
                </c:pt>
                <c:pt idx="54">
                  <c:v>#N/A</c:v>
                </c:pt>
              </c:numCache>
            </c:numRef>
          </c:yVal>
        </c:ser>
        <c:ser>
          <c:idx val="4"/>
          <c:order val="4"/>
          <c:tx>
            <c:strRef>
              <c:f>i_scatter!$C$41</c:f>
              <c:strCache>
                <c:ptCount val="1"/>
                <c:pt idx="0">
                  <c:v>&lt;none&gt;</c:v>
                </c:pt>
              </c:strCache>
            </c:strRef>
          </c:tx>
          <c:spPr>
            <a:ln w="28575">
              <a:noFill/>
            </a:ln>
          </c:spPr>
          <c:marker>
            <c:symbol val="circle"/>
            <c:size val="7"/>
            <c:spPr>
              <a:solidFill>
                <a:srgbClr val="FF0000"/>
              </a:solidFill>
              <a:ln>
                <a:noFill/>
              </a:ln>
            </c:spPr>
          </c:marker>
          <c:dLbls>
            <c:dLbl>
              <c:idx val="0"/>
              <c:spPr>
                <a:noFill/>
                <a:ln w="25400">
                  <a:noFill/>
                </a:ln>
              </c:spPr>
              <c:txPr>
                <a:bodyPr/>
                <a:lstStyle/>
                <a:p>
                  <a:pPr>
                    <a:defRPr sz="1000" b="0" i="0" u="none" strike="noStrike" baseline="0">
                      <a:solidFill>
                        <a:srgbClr val="FF0000"/>
                      </a:solidFill>
                      <a:latin typeface="Calibri"/>
                      <a:ea typeface="Calibri"/>
                      <a:cs typeface="Calibri"/>
                    </a:defRPr>
                  </a:pPr>
                  <a:endParaRPr lang="en-US"/>
                </a:p>
              </c:txPr>
              <c:showSerName val="1"/>
            </c:dLbl>
            <c:delete val="1"/>
          </c:dLbls>
          <c:xVal>
            <c:numRef>
              <c:f>i_scatter!$C$42</c:f>
              <c:numCache>
                <c:formatCode>General</c:formatCode>
                <c:ptCount val="1"/>
                <c:pt idx="0">
                  <c:v>#N/A</c:v>
                </c:pt>
              </c:numCache>
            </c:numRef>
          </c:xVal>
          <c:yVal>
            <c:numRef>
              <c:f>i_scatter!$C$43</c:f>
              <c:numCache>
                <c:formatCode>General</c:formatCode>
                <c:ptCount val="1"/>
                <c:pt idx="0">
                  <c:v>#N/A</c:v>
                </c:pt>
              </c:numCache>
            </c:numRef>
          </c:yVal>
        </c:ser>
        <c:ser>
          <c:idx val="5"/>
          <c:order val="5"/>
          <c:tx>
            <c:strRef>
              <c:f>i_scatter!$C$48</c:f>
              <c:strCache>
                <c:ptCount val="1"/>
              </c:strCache>
            </c:strRef>
          </c:tx>
          <c:spPr>
            <a:ln w="28575">
              <a:noFill/>
            </a:ln>
          </c:spPr>
          <c:marker>
            <c:symbol val="circle"/>
            <c:size val="7"/>
            <c:spPr>
              <a:solidFill>
                <a:srgbClr val="00B0F0"/>
              </a:solidFill>
              <a:ln>
                <a:noFill/>
              </a:ln>
            </c:spPr>
          </c:marke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SerName val="1"/>
          </c:dLbls>
          <c:xVal>
            <c:numRef>
              <c:f>i_scatter!$C$49</c:f>
              <c:numCache>
                <c:formatCode>General</c:formatCode>
                <c:ptCount val="1"/>
                <c:pt idx="0">
                  <c:v>#N/A</c:v>
                </c:pt>
              </c:numCache>
            </c:numRef>
          </c:xVal>
          <c:yVal>
            <c:numRef>
              <c:f>i_scatter!$C$50</c:f>
              <c:numCache>
                <c:formatCode>General</c:formatCode>
                <c:ptCount val="1"/>
                <c:pt idx="0">
                  <c:v>#N/A</c:v>
                </c:pt>
              </c:numCache>
            </c:numRef>
          </c:yVal>
        </c:ser>
        <c:ser>
          <c:idx val="6"/>
          <c:order val="6"/>
          <c:tx>
            <c:strRef>
              <c:f>i_scatter!$D$48</c:f>
              <c:strCache>
                <c:ptCount val="1"/>
              </c:strCache>
            </c:strRef>
          </c:tx>
          <c:spPr>
            <a:ln w="28575">
              <a:noFill/>
            </a:ln>
          </c:spPr>
          <c:marker>
            <c:symbol val="circle"/>
            <c:size val="7"/>
            <c:spPr>
              <a:solidFill>
                <a:srgbClr val="00B0F0"/>
              </a:solidFill>
              <a:ln>
                <a:noFill/>
              </a:ln>
            </c:spPr>
          </c:marke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SerName val="1"/>
          </c:dLbls>
          <c:xVal>
            <c:numRef>
              <c:f>i_scatter!$D$49</c:f>
              <c:numCache>
                <c:formatCode>General</c:formatCode>
                <c:ptCount val="1"/>
                <c:pt idx="0">
                  <c:v>#N/A</c:v>
                </c:pt>
              </c:numCache>
            </c:numRef>
          </c:xVal>
          <c:yVal>
            <c:numRef>
              <c:f>i_scatter!$D$50</c:f>
              <c:numCache>
                <c:formatCode>General</c:formatCode>
                <c:ptCount val="1"/>
                <c:pt idx="0">
                  <c:v>#N/A</c:v>
                </c:pt>
              </c:numCache>
            </c:numRef>
          </c:yVal>
        </c:ser>
        <c:axId val="113172480"/>
        <c:axId val="113174400"/>
      </c:scatterChart>
      <c:valAx>
        <c:axId val="113172480"/>
        <c:scaling>
          <c:orientation val="minMax"/>
        </c:scaling>
        <c:axPos val="b"/>
        <c:majorGridlines>
          <c:spPr>
            <a:ln>
              <a:solidFill>
                <a:sysClr val="window" lastClr="FFFFFF">
                  <a:lumMod val="75000"/>
                </a:sysClr>
              </a:solidFill>
              <a:prstDash val="dash"/>
            </a:ln>
          </c:spPr>
        </c:majorGridlines>
        <c:title>
          <c:tx>
            <c:strRef>
              <c:f>i_scatter!$B$8</c:f>
              <c:strCache>
                <c:ptCount val="1"/>
                <c:pt idx="0">
                  <c:v>Overall score (Normalised score 0-100, 100=best)</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en-US"/>
            </a:p>
          </c:txPr>
        </c:title>
        <c:numFmt formatCode="General" sourceLinked="1"/>
        <c:maj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13174400"/>
        <c:crosses val="autoZero"/>
        <c:crossBetween val="midCat"/>
      </c:valAx>
      <c:valAx>
        <c:axId val="113174400"/>
        <c:scaling>
          <c:orientation val="minMax"/>
        </c:scaling>
        <c:axPos val="l"/>
        <c:majorGridlines>
          <c:spPr>
            <a:ln>
              <a:solidFill>
                <a:schemeClr val="bg1">
                  <a:lumMod val="75000"/>
                </a:schemeClr>
              </a:solidFill>
              <a:prstDash val="dash"/>
            </a:ln>
          </c:spPr>
        </c:majorGridlines>
        <c:title>
          <c:tx>
            <c:strRef>
              <c:f>i_scatter!$B$9</c:f>
              <c:strCache>
                <c:ptCount val="1"/>
                <c:pt idx="0">
                  <c:v>MFI clients as % of microenterprises (% of microenterprises)</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en-US"/>
            </a:p>
          </c:txPr>
        </c:title>
        <c:numFmt formatCode="General" sourceLinked="1"/>
        <c:maj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13172480"/>
        <c:crosses val="autoZero"/>
        <c:crossBetween val="midCat"/>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plotArea>
      <c:layout/>
      <c:scatterChart>
        <c:scatterStyle val="lineMarker"/>
        <c:ser>
          <c:idx val="0"/>
          <c:order val="0"/>
          <c:tx>
            <c:v>All (no display)</c:v>
          </c:tx>
          <c:spPr>
            <a:ln w="28575">
              <a:noFill/>
            </a:ln>
          </c:spPr>
          <c:marker>
            <c:symbol val="none"/>
          </c:marker>
          <c:trendline>
            <c:trendlineType val="linear"/>
          </c:trendline>
          <c:xVal>
            <c:numRef>
              <c:f>i_scatter!$C$15:$BE$15</c:f>
              <c:numCache>
                <c:formatCode>General</c:formatCode>
                <c:ptCount val="55"/>
                <c:pt idx="0">
                  <c:v>30.8</c:v>
                </c:pt>
                <c:pt idx="1">
                  <c:v>43.9</c:v>
                </c:pt>
                <c:pt idx="2">
                  <c:v>29</c:v>
                </c:pt>
                <c:pt idx="3">
                  <c:v>42.7</c:v>
                </c:pt>
                <c:pt idx="4">
                  <c:v>71.7</c:v>
                </c:pt>
                <c:pt idx="5">
                  <c:v>43.1</c:v>
                </c:pt>
                <c:pt idx="6">
                  <c:v>44</c:v>
                </c:pt>
                <c:pt idx="7">
                  <c:v>54.1</c:v>
                </c:pt>
                <c:pt idx="8">
                  <c:v>31.6</c:v>
                </c:pt>
                <c:pt idx="9">
                  <c:v>48</c:v>
                </c:pt>
                <c:pt idx="10">
                  <c:v>34.1</c:v>
                </c:pt>
                <c:pt idx="11">
                  <c:v>58.6</c:v>
                </c:pt>
                <c:pt idx="12">
                  <c:v>42.5</c:v>
                </c:pt>
                <c:pt idx="13">
                  <c:v>47</c:v>
                </c:pt>
                <c:pt idx="14">
                  <c:v>36.799999999999997</c:v>
                </c:pt>
                <c:pt idx="15">
                  <c:v>59.7</c:v>
                </c:pt>
                <c:pt idx="16">
                  <c:v>57.5</c:v>
                </c:pt>
                <c:pt idx="17">
                  <c:v>31.3</c:v>
                </c:pt>
                <c:pt idx="18">
                  <c:v>45.1</c:v>
                </c:pt>
                <c:pt idx="19">
                  <c:v>60.9</c:v>
                </c:pt>
                <c:pt idx="20">
                  <c:v>51.8</c:v>
                </c:pt>
                <c:pt idx="21">
                  <c:v>33.4</c:v>
                </c:pt>
                <c:pt idx="22">
                  <c:v>49.3</c:v>
                </c:pt>
                <c:pt idx="23">
                  <c:v>62.1</c:v>
                </c:pt>
                <c:pt idx="24">
                  <c:v>35.200000000000003</c:v>
                </c:pt>
                <c:pt idx="25">
                  <c:v>23.7</c:v>
                </c:pt>
                <c:pt idx="26">
                  <c:v>55.8</c:v>
                </c:pt>
                <c:pt idx="27">
                  <c:v>56.2</c:v>
                </c:pt>
                <c:pt idx="28">
                  <c:v>29.3</c:v>
                </c:pt>
                <c:pt idx="29">
                  <c:v>32.299999999999997</c:v>
                </c:pt>
                <c:pt idx="30">
                  <c:v>47.3</c:v>
                </c:pt>
                <c:pt idx="31">
                  <c:v>30</c:v>
                </c:pt>
                <c:pt idx="32">
                  <c:v>30.3</c:v>
                </c:pt>
                <c:pt idx="33">
                  <c:v>40.299999999999997</c:v>
                </c:pt>
                <c:pt idx="34">
                  <c:v>30</c:v>
                </c:pt>
                <c:pt idx="35">
                  <c:v>58.7</c:v>
                </c:pt>
                <c:pt idx="36">
                  <c:v>39.4</c:v>
                </c:pt>
                <c:pt idx="37">
                  <c:v>56.5</c:v>
                </c:pt>
                <c:pt idx="38">
                  <c:v>50.9</c:v>
                </c:pt>
                <c:pt idx="39">
                  <c:v>49.5</c:v>
                </c:pt>
                <c:pt idx="40">
                  <c:v>73.8</c:v>
                </c:pt>
                <c:pt idx="41">
                  <c:v>68.400000000000006</c:v>
                </c:pt>
                <c:pt idx="42">
                  <c:v>38.6</c:v>
                </c:pt>
                <c:pt idx="43">
                  <c:v>32.6</c:v>
                </c:pt>
                <c:pt idx="44">
                  <c:v>40.4</c:v>
                </c:pt>
                <c:pt idx="45">
                  <c:v>40.4</c:v>
                </c:pt>
                <c:pt idx="46">
                  <c:v>48.4</c:v>
                </c:pt>
                <c:pt idx="47">
                  <c:v>21.2</c:v>
                </c:pt>
                <c:pt idx="48">
                  <c:v>22.9</c:v>
                </c:pt>
                <c:pt idx="49">
                  <c:v>30.3</c:v>
                </c:pt>
                <c:pt idx="50">
                  <c:v>57.5</c:v>
                </c:pt>
                <c:pt idx="51">
                  <c:v>28.4</c:v>
                </c:pt>
                <c:pt idx="52">
                  <c:v>24.1</c:v>
                </c:pt>
                <c:pt idx="53">
                  <c:v>21.6</c:v>
                </c:pt>
                <c:pt idx="54">
                  <c:v>42.1</c:v>
                </c:pt>
              </c:numCache>
            </c:numRef>
          </c:xVal>
          <c:yVal>
            <c:numRef>
              <c:f>i_scatter!$C$16:$BE$16</c:f>
              <c:numCache>
                <c:formatCode>General</c:formatCode>
                <c:ptCount val="55"/>
                <c:pt idx="0">
                  <c:v>1.2815557184120232</c:v>
                </c:pt>
                <c:pt idx="1">
                  <c:v>#N/A</c:v>
                </c:pt>
                <c:pt idx="2">
                  <c:v>#N/A</c:v>
                </c:pt>
                <c:pt idx="3">
                  <c:v>#N/A</c:v>
                </c:pt>
                <c:pt idx="4">
                  <c:v>44.625449447924396</c:v>
                </c:pt>
                <c:pt idx="5">
                  <c:v>#N/A</c:v>
                </c:pt>
                <c:pt idx="6">
                  <c:v>2.8750621210881939</c:v>
                </c:pt>
                <c:pt idx="7">
                  <c:v>#N/A</c:v>
                </c:pt>
                <c:pt idx="8">
                  <c:v>#N/A</c:v>
                </c:pt>
                <c:pt idx="9">
                  <c:v>13.88282130419311</c:v>
                </c:pt>
                <c:pt idx="10">
                  <c:v>#N/A</c:v>
                </c:pt>
                <c:pt idx="11">
                  <c:v>11.591768668724008</c:v>
                </c:pt>
                <c:pt idx="12">
                  <c:v>15.8781491337601</c:v>
                </c:pt>
                <c:pt idx="13">
                  <c:v>15.573619738159342</c:v>
                </c:pt>
                <c:pt idx="14">
                  <c:v>#N/A</c:v>
                </c:pt>
                <c:pt idx="15">
                  <c:v>47.48838045137019</c:v>
                </c:pt>
                <c:pt idx="16">
                  <c:v>35.793202436844965</c:v>
                </c:pt>
                <c:pt idx="17">
                  <c:v>#N/A</c:v>
                </c:pt>
                <c:pt idx="18">
                  <c:v>#N/A</c:v>
                </c:pt>
                <c:pt idx="19">
                  <c:v>#N/A</c:v>
                </c:pt>
                <c:pt idx="20">
                  <c:v>21.012528724627639</c:v>
                </c:pt>
                <c:pt idx="21">
                  <c:v>#N/A</c:v>
                </c:pt>
                <c:pt idx="22">
                  <c:v>17.811886880880195</c:v>
                </c:pt>
                <c:pt idx="23">
                  <c:v>#N/A</c:v>
                </c:pt>
                <c:pt idx="24">
                  <c:v>#N/A</c:v>
                </c:pt>
                <c:pt idx="25">
                  <c:v>#N/A</c:v>
                </c:pt>
                <c:pt idx="26">
                  <c:v>#N/A</c:v>
                </c:pt>
                <c:pt idx="27">
                  <c:v>#N/A</c:v>
                </c:pt>
                <c:pt idx="28">
                  <c:v>#N/A</c:v>
                </c:pt>
                <c:pt idx="29">
                  <c:v>#N/A</c:v>
                </c:pt>
                <c:pt idx="30">
                  <c:v>17.446465245547422</c:v>
                </c:pt>
                <c:pt idx="31">
                  <c:v>#N/A</c:v>
                </c:pt>
                <c:pt idx="32">
                  <c:v>#N/A</c:v>
                </c:pt>
                <c:pt idx="33">
                  <c:v>#N/A</c:v>
                </c:pt>
                <c:pt idx="34">
                  <c:v>#N/A</c:v>
                </c:pt>
                <c:pt idx="35">
                  <c:v>58.715065084093169</c:v>
                </c:pt>
                <c:pt idx="36">
                  <c:v>#N/A</c:v>
                </c:pt>
                <c:pt idx="37">
                  <c:v>#N/A</c:v>
                </c:pt>
                <c:pt idx="38">
                  <c:v>4.9016220366637873</c:v>
                </c:pt>
                <c:pt idx="39">
                  <c:v>17.788631651236457</c:v>
                </c:pt>
                <c:pt idx="40">
                  <c:v>31.25358565943796</c:v>
                </c:pt>
                <c:pt idx="41">
                  <c:v>#N/A</c:v>
                </c:pt>
                <c:pt idx="42">
                  <c:v>#N/A</c:v>
                </c:pt>
                <c:pt idx="43">
                  <c:v>#N/A</c:v>
                </c:pt>
                <c:pt idx="44">
                  <c:v>#N/A</c:v>
                </c:pt>
                <c:pt idx="45">
                  <c:v>#N/A</c:v>
                </c:pt>
                <c:pt idx="46">
                  <c:v>#N/A</c:v>
                </c:pt>
                <c:pt idx="47">
                  <c:v>#N/A</c:v>
                </c:pt>
                <c:pt idx="48">
                  <c:v>#N/A</c:v>
                </c:pt>
                <c:pt idx="49">
                  <c:v>#N/A</c:v>
                </c:pt>
                <c:pt idx="50">
                  <c:v>#N/A</c:v>
                </c:pt>
                <c:pt idx="51">
                  <c:v>2.5682215463084912</c:v>
                </c:pt>
                <c:pt idx="52">
                  <c:v>1.3584964058778015</c:v>
                </c:pt>
                <c:pt idx="53">
                  <c:v>#N/A</c:v>
                </c:pt>
                <c:pt idx="54">
                  <c:v>#N/A</c:v>
                </c:pt>
              </c:numCache>
            </c:numRef>
          </c:yVal>
        </c:ser>
        <c:ser>
          <c:idx val="1"/>
          <c:order val="1"/>
          <c:tx>
            <c:v>Non highlight</c:v>
          </c:tx>
          <c:spPr>
            <a:ln w="28575">
              <a:noFill/>
            </a:ln>
          </c:spPr>
          <c:marker>
            <c:symbol val="diamond"/>
            <c:size val="7"/>
            <c:spPr>
              <a:solidFill>
                <a:schemeClr val="bg1">
                  <a:lumMod val="75000"/>
                </a:schemeClr>
              </a:solidFill>
              <a:ln>
                <a:noFill/>
              </a:ln>
            </c:spPr>
          </c:marker>
          <c:xVal>
            <c:numRef>
              <c:f>i_scatter!$C$30:$BE$30</c:f>
              <c:numCache>
                <c:formatCode>General</c:formatCode>
                <c:ptCount val="5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numCache>
            </c:numRef>
          </c:xVal>
          <c:yVal>
            <c:numRef>
              <c:f>i_scatter!$C$31:$BE$31</c:f>
              <c:numCache>
                <c:formatCode>General</c:formatCode>
                <c:ptCount val="5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numCache>
            </c:numRef>
          </c:yVal>
        </c:ser>
        <c:ser>
          <c:idx val="2"/>
          <c:order val="2"/>
          <c:tx>
            <c:v>Highlight</c:v>
          </c:tx>
          <c:spPr>
            <a:ln w="28575">
              <a:noFill/>
            </a:ln>
          </c:spPr>
          <c:marker>
            <c:symbol val="diamond"/>
            <c:size val="7"/>
            <c:spPr>
              <a:solidFill>
                <a:schemeClr val="tx1"/>
              </a:solidFill>
              <a:ln>
                <a:noFill/>
              </a:ln>
            </c:spPr>
          </c:marker>
          <c:xVal>
            <c:numRef>
              <c:f>i_scatter!$C$34:$BE$34</c:f>
              <c:numCache>
                <c:formatCode>General</c:formatCode>
                <c:ptCount val="55"/>
                <c:pt idx="0">
                  <c:v>30.8</c:v>
                </c:pt>
                <c:pt idx="1">
                  <c:v>43.9</c:v>
                </c:pt>
                <c:pt idx="2">
                  <c:v>29</c:v>
                </c:pt>
                <c:pt idx="3">
                  <c:v>42.7</c:v>
                </c:pt>
                <c:pt idx="4">
                  <c:v>71.7</c:v>
                </c:pt>
                <c:pt idx="5">
                  <c:v>43.1</c:v>
                </c:pt>
                <c:pt idx="6">
                  <c:v>44</c:v>
                </c:pt>
                <c:pt idx="7">
                  <c:v>54.1</c:v>
                </c:pt>
                <c:pt idx="8">
                  <c:v>31.6</c:v>
                </c:pt>
                <c:pt idx="9">
                  <c:v>48</c:v>
                </c:pt>
                <c:pt idx="10">
                  <c:v>34.1</c:v>
                </c:pt>
                <c:pt idx="11">
                  <c:v>58.6</c:v>
                </c:pt>
                <c:pt idx="12">
                  <c:v>42.5</c:v>
                </c:pt>
                <c:pt idx="13">
                  <c:v>47</c:v>
                </c:pt>
                <c:pt idx="14">
                  <c:v>36.799999999999997</c:v>
                </c:pt>
                <c:pt idx="15">
                  <c:v>59.7</c:v>
                </c:pt>
                <c:pt idx="16">
                  <c:v>57.5</c:v>
                </c:pt>
                <c:pt idx="17">
                  <c:v>31.3</c:v>
                </c:pt>
                <c:pt idx="18">
                  <c:v>45.1</c:v>
                </c:pt>
                <c:pt idx="19">
                  <c:v>60.9</c:v>
                </c:pt>
                <c:pt idx="20">
                  <c:v>51.8</c:v>
                </c:pt>
                <c:pt idx="21">
                  <c:v>33.4</c:v>
                </c:pt>
                <c:pt idx="22">
                  <c:v>49.3</c:v>
                </c:pt>
                <c:pt idx="23">
                  <c:v>62.1</c:v>
                </c:pt>
                <c:pt idx="24">
                  <c:v>35.200000000000003</c:v>
                </c:pt>
                <c:pt idx="25">
                  <c:v>23.7</c:v>
                </c:pt>
                <c:pt idx="26">
                  <c:v>55.8</c:v>
                </c:pt>
                <c:pt idx="27">
                  <c:v>56.2</c:v>
                </c:pt>
                <c:pt idx="28">
                  <c:v>29.3</c:v>
                </c:pt>
                <c:pt idx="29">
                  <c:v>32.299999999999997</c:v>
                </c:pt>
                <c:pt idx="30">
                  <c:v>47.3</c:v>
                </c:pt>
                <c:pt idx="31">
                  <c:v>30</c:v>
                </c:pt>
                <c:pt idx="32">
                  <c:v>30.3</c:v>
                </c:pt>
                <c:pt idx="33">
                  <c:v>40.299999999999997</c:v>
                </c:pt>
                <c:pt idx="34">
                  <c:v>30</c:v>
                </c:pt>
                <c:pt idx="35">
                  <c:v>58.7</c:v>
                </c:pt>
                <c:pt idx="36">
                  <c:v>39.4</c:v>
                </c:pt>
                <c:pt idx="37">
                  <c:v>56.5</c:v>
                </c:pt>
                <c:pt idx="38">
                  <c:v>50.9</c:v>
                </c:pt>
                <c:pt idx="39">
                  <c:v>49.5</c:v>
                </c:pt>
                <c:pt idx="40">
                  <c:v>73.8</c:v>
                </c:pt>
                <c:pt idx="41">
                  <c:v>68.400000000000006</c:v>
                </c:pt>
                <c:pt idx="42">
                  <c:v>38.6</c:v>
                </c:pt>
                <c:pt idx="43">
                  <c:v>32.6</c:v>
                </c:pt>
                <c:pt idx="44">
                  <c:v>40.4</c:v>
                </c:pt>
                <c:pt idx="45">
                  <c:v>40.4</c:v>
                </c:pt>
                <c:pt idx="46">
                  <c:v>48.4</c:v>
                </c:pt>
                <c:pt idx="47">
                  <c:v>21.2</c:v>
                </c:pt>
                <c:pt idx="48">
                  <c:v>22.9</c:v>
                </c:pt>
                <c:pt idx="49">
                  <c:v>30.3</c:v>
                </c:pt>
                <c:pt idx="50">
                  <c:v>57.5</c:v>
                </c:pt>
                <c:pt idx="51">
                  <c:v>28.4</c:v>
                </c:pt>
                <c:pt idx="52">
                  <c:v>24.1</c:v>
                </c:pt>
                <c:pt idx="53">
                  <c:v>21.6</c:v>
                </c:pt>
                <c:pt idx="54">
                  <c:v>42.1</c:v>
                </c:pt>
              </c:numCache>
            </c:numRef>
          </c:xVal>
          <c:yVal>
            <c:numRef>
              <c:f>i_scatter!$C$35:$BE$35</c:f>
              <c:numCache>
                <c:formatCode>General</c:formatCode>
                <c:ptCount val="55"/>
                <c:pt idx="0">
                  <c:v>1.2815557184120232</c:v>
                </c:pt>
                <c:pt idx="1">
                  <c:v>#N/A</c:v>
                </c:pt>
                <c:pt idx="2">
                  <c:v>#N/A</c:v>
                </c:pt>
                <c:pt idx="3">
                  <c:v>#N/A</c:v>
                </c:pt>
                <c:pt idx="4">
                  <c:v>44.625449447924396</c:v>
                </c:pt>
                <c:pt idx="5">
                  <c:v>#N/A</c:v>
                </c:pt>
                <c:pt idx="6">
                  <c:v>2.8750621210881939</c:v>
                </c:pt>
                <c:pt idx="7">
                  <c:v>#N/A</c:v>
                </c:pt>
                <c:pt idx="8">
                  <c:v>#N/A</c:v>
                </c:pt>
                <c:pt idx="9">
                  <c:v>13.88282130419311</c:v>
                </c:pt>
                <c:pt idx="10">
                  <c:v>#N/A</c:v>
                </c:pt>
                <c:pt idx="11">
                  <c:v>11.591768668724008</c:v>
                </c:pt>
                <c:pt idx="12">
                  <c:v>15.8781491337601</c:v>
                </c:pt>
                <c:pt idx="13">
                  <c:v>15.573619738159342</c:v>
                </c:pt>
                <c:pt idx="14">
                  <c:v>#N/A</c:v>
                </c:pt>
                <c:pt idx="15">
                  <c:v>47.48838045137019</c:v>
                </c:pt>
                <c:pt idx="16">
                  <c:v>35.793202436844965</c:v>
                </c:pt>
                <c:pt idx="17">
                  <c:v>#N/A</c:v>
                </c:pt>
                <c:pt idx="18">
                  <c:v>#N/A</c:v>
                </c:pt>
                <c:pt idx="19">
                  <c:v>#N/A</c:v>
                </c:pt>
                <c:pt idx="20">
                  <c:v>21.012528724627639</c:v>
                </c:pt>
                <c:pt idx="21">
                  <c:v>#N/A</c:v>
                </c:pt>
                <c:pt idx="22">
                  <c:v>17.811886880880195</c:v>
                </c:pt>
                <c:pt idx="23">
                  <c:v>#N/A</c:v>
                </c:pt>
                <c:pt idx="24">
                  <c:v>#N/A</c:v>
                </c:pt>
                <c:pt idx="25">
                  <c:v>#N/A</c:v>
                </c:pt>
                <c:pt idx="26">
                  <c:v>#N/A</c:v>
                </c:pt>
                <c:pt idx="27">
                  <c:v>#N/A</c:v>
                </c:pt>
                <c:pt idx="28">
                  <c:v>#N/A</c:v>
                </c:pt>
                <c:pt idx="29">
                  <c:v>#N/A</c:v>
                </c:pt>
                <c:pt idx="30">
                  <c:v>17.446465245547422</c:v>
                </c:pt>
                <c:pt idx="31">
                  <c:v>#N/A</c:v>
                </c:pt>
                <c:pt idx="32">
                  <c:v>#N/A</c:v>
                </c:pt>
                <c:pt idx="33">
                  <c:v>#N/A</c:v>
                </c:pt>
                <c:pt idx="34">
                  <c:v>#N/A</c:v>
                </c:pt>
                <c:pt idx="35">
                  <c:v>58.715065084093169</c:v>
                </c:pt>
                <c:pt idx="36">
                  <c:v>#N/A</c:v>
                </c:pt>
                <c:pt idx="37">
                  <c:v>#N/A</c:v>
                </c:pt>
                <c:pt idx="38">
                  <c:v>4.9016220366637873</c:v>
                </c:pt>
                <c:pt idx="39">
                  <c:v>17.788631651236457</c:v>
                </c:pt>
                <c:pt idx="40">
                  <c:v>31.25358565943796</c:v>
                </c:pt>
                <c:pt idx="41">
                  <c:v>#N/A</c:v>
                </c:pt>
                <c:pt idx="42">
                  <c:v>#N/A</c:v>
                </c:pt>
                <c:pt idx="43">
                  <c:v>#N/A</c:v>
                </c:pt>
                <c:pt idx="44">
                  <c:v>#N/A</c:v>
                </c:pt>
                <c:pt idx="45">
                  <c:v>#N/A</c:v>
                </c:pt>
                <c:pt idx="46">
                  <c:v>#N/A</c:v>
                </c:pt>
                <c:pt idx="47">
                  <c:v>#N/A</c:v>
                </c:pt>
                <c:pt idx="48">
                  <c:v>#N/A</c:v>
                </c:pt>
                <c:pt idx="49">
                  <c:v>#N/A</c:v>
                </c:pt>
                <c:pt idx="50">
                  <c:v>#N/A</c:v>
                </c:pt>
                <c:pt idx="51">
                  <c:v>2.5682215463084912</c:v>
                </c:pt>
                <c:pt idx="52">
                  <c:v>1.3584964058778015</c:v>
                </c:pt>
                <c:pt idx="53">
                  <c:v>#N/A</c:v>
                </c:pt>
                <c:pt idx="54">
                  <c:v>#N/A</c:v>
                </c:pt>
              </c:numCache>
            </c:numRef>
          </c:yVal>
        </c:ser>
        <c:ser>
          <c:idx val="3"/>
          <c:order val="3"/>
          <c:tx>
            <c:v>Highlight (Labels)</c:v>
          </c:tx>
          <c:spPr>
            <a:ln w="28575">
              <a:noFill/>
            </a:ln>
          </c:spPr>
          <c:marker>
            <c:symbol val="none"/>
          </c:marker>
          <c:dLbls>
            <c:dLbl>
              <c:idx val="0"/>
              <c:tx>
                <c:rich>
                  <a:bodyPr/>
                  <a:lstStyle/>
                  <a:p>
                    <a:pPr>
                      <a:defRPr sz="800" b="0" i="0" u="none" strike="noStrike" baseline="0">
                        <a:solidFill>
                          <a:srgbClr val="000000"/>
                        </a:solidFill>
                        <a:latin typeface="Calibri"/>
                        <a:ea typeface="Calibri"/>
                        <a:cs typeface="Calibri"/>
                      </a:defRPr>
                    </a:pPr>
                    <a:r>
                      <a:t>Argentina</a:t>
                    </a:r>
                  </a:p>
                </c:rich>
              </c:tx>
              <c:spPr>
                <a:noFill/>
                <a:ln w="25400">
                  <a:noFill/>
                </a:ln>
              </c:spPr>
            </c:dLbl>
            <c:dLbl>
              <c:idx val="1"/>
              <c:tx>
                <c:rich>
                  <a:bodyPr/>
                  <a:lstStyle/>
                  <a:p>
                    <a:pPr>
                      <a:defRPr sz="800" b="0" i="0" u="none" strike="noStrike" baseline="0">
                        <a:solidFill>
                          <a:srgbClr val="000000"/>
                        </a:solidFill>
                        <a:latin typeface="Calibri"/>
                        <a:ea typeface="Calibri"/>
                        <a:cs typeface="Calibri"/>
                      </a:defRPr>
                    </a:pPr>
                    <a:r>
                      <a:t>Armenia</a:t>
                    </a:r>
                  </a:p>
                </c:rich>
              </c:tx>
              <c:spPr>
                <a:noFill/>
                <a:ln w="25400">
                  <a:noFill/>
                </a:ln>
              </c:spPr>
            </c:dLbl>
            <c:dLbl>
              <c:idx val="2"/>
              <c:tx>
                <c:rich>
                  <a:bodyPr/>
                  <a:lstStyle/>
                  <a:p>
                    <a:pPr>
                      <a:defRPr sz="800" b="0" i="0" u="none" strike="noStrike" baseline="0">
                        <a:solidFill>
                          <a:srgbClr val="000000"/>
                        </a:solidFill>
                        <a:latin typeface="Calibri"/>
                        <a:ea typeface="Calibri"/>
                        <a:cs typeface="Calibri"/>
                      </a:defRPr>
                    </a:pPr>
                    <a:r>
                      <a:t>Azerbaijan</a:t>
                    </a:r>
                  </a:p>
                </c:rich>
              </c:tx>
              <c:spPr>
                <a:noFill/>
                <a:ln w="25400">
                  <a:noFill/>
                </a:ln>
              </c:spPr>
            </c:dLbl>
            <c:dLbl>
              <c:idx val="3"/>
              <c:tx>
                <c:rich>
                  <a:bodyPr/>
                  <a:lstStyle/>
                  <a:p>
                    <a:pPr>
                      <a:defRPr sz="800" b="0" i="0" u="none" strike="noStrike" baseline="0">
                        <a:solidFill>
                          <a:srgbClr val="000000"/>
                        </a:solidFill>
                        <a:latin typeface="Calibri"/>
                        <a:ea typeface="Calibri"/>
                        <a:cs typeface="Calibri"/>
                      </a:defRPr>
                    </a:pPr>
                    <a:r>
                      <a:t>Bangladesh</a:t>
                    </a:r>
                  </a:p>
                </c:rich>
              </c:tx>
              <c:spPr>
                <a:noFill/>
                <a:ln w="25400">
                  <a:noFill/>
                </a:ln>
              </c:spPr>
            </c:dLbl>
            <c:dLbl>
              <c:idx val="4"/>
              <c:tx>
                <c:rich>
                  <a:bodyPr/>
                  <a:lstStyle/>
                  <a:p>
                    <a:pPr>
                      <a:defRPr sz="800" b="0" i="0" u="none" strike="noStrike" baseline="0">
                        <a:solidFill>
                          <a:srgbClr val="000000"/>
                        </a:solidFill>
                        <a:latin typeface="Calibri"/>
                        <a:ea typeface="Calibri"/>
                        <a:cs typeface="Calibri"/>
                      </a:defRPr>
                    </a:pPr>
                    <a:r>
                      <a:t>Bolivia</a:t>
                    </a:r>
                  </a:p>
                </c:rich>
              </c:tx>
              <c:spPr>
                <a:noFill/>
                <a:ln w="25400">
                  <a:noFill/>
                </a:ln>
              </c:spPr>
            </c:dLbl>
            <c:dLbl>
              <c:idx val="5"/>
              <c:tx>
                <c:rich>
                  <a:bodyPr/>
                  <a:lstStyle/>
                  <a:p>
                    <a:pPr>
                      <a:defRPr sz="800" b="0" i="0" u="none" strike="noStrike" baseline="0">
                        <a:solidFill>
                          <a:srgbClr val="000000"/>
                        </a:solidFill>
                        <a:latin typeface="Calibri"/>
                        <a:ea typeface="Calibri"/>
                        <a:cs typeface="Calibri"/>
                      </a:defRPr>
                    </a:pPr>
                    <a:r>
                      <a:t>Bosnia</a:t>
                    </a:r>
                  </a:p>
                </c:rich>
              </c:tx>
              <c:spPr>
                <a:noFill/>
                <a:ln w="25400">
                  <a:noFill/>
                </a:ln>
              </c:spPr>
            </c:dLbl>
            <c:dLbl>
              <c:idx val="6"/>
              <c:tx>
                <c:rich>
                  <a:bodyPr/>
                  <a:lstStyle/>
                  <a:p>
                    <a:pPr>
                      <a:defRPr sz="800" b="0" i="0" u="none" strike="noStrike" baseline="0">
                        <a:solidFill>
                          <a:srgbClr val="000000"/>
                        </a:solidFill>
                        <a:latin typeface="Calibri"/>
                        <a:ea typeface="Calibri"/>
                        <a:cs typeface="Calibri"/>
                      </a:defRPr>
                    </a:pPr>
                    <a:r>
                      <a:t>Brazil</a:t>
                    </a:r>
                  </a:p>
                </c:rich>
              </c:tx>
              <c:spPr>
                <a:noFill/>
                <a:ln w="25400">
                  <a:noFill/>
                </a:ln>
              </c:spPr>
            </c:dLbl>
            <c:dLbl>
              <c:idx val="7"/>
              <c:tx>
                <c:rich>
                  <a:bodyPr/>
                  <a:lstStyle/>
                  <a:p>
                    <a:pPr>
                      <a:defRPr sz="800" b="0" i="0" u="none" strike="noStrike" baseline="0">
                        <a:solidFill>
                          <a:srgbClr val="000000"/>
                        </a:solidFill>
                        <a:latin typeface="Calibri"/>
                        <a:ea typeface="Calibri"/>
                        <a:cs typeface="Calibri"/>
                      </a:defRPr>
                    </a:pPr>
                    <a:r>
                      <a:t>Cambodia</a:t>
                    </a:r>
                  </a:p>
                </c:rich>
              </c:tx>
              <c:spPr>
                <a:noFill/>
                <a:ln w="25400">
                  <a:noFill/>
                </a:ln>
              </c:spPr>
            </c:dLbl>
            <c:dLbl>
              <c:idx val="8"/>
              <c:tx>
                <c:rich>
                  <a:bodyPr/>
                  <a:lstStyle/>
                  <a:p>
                    <a:pPr>
                      <a:defRPr sz="800" b="0" i="0" u="none" strike="noStrike" baseline="0">
                        <a:solidFill>
                          <a:srgbClr val="000000"/>
                        </a:solidFill>
                        <a:latin typeface="Calibri"/>
                        <a:ea typeface="Calibri"/>
                        <a:cs typeface="Calibri"/>
                      </a:defRPr>
                    </a:pPr>
                    <a:r>
                      <a:t>Cameroon</a:t>
                    </a:r>
                  </a:p>
                </c:rich>
              </c:tx>
              <c:spPr>
                <a:noFill/>
                <a:ln w="25400">
                  <a:noFill/>
                </a:ln>
              </c:spPr>
            </c:dLbl>
            <c:dLbl>
              <c:idx val="9"/>
              <c:tx>
                <c:rich>
                  <a:bodyPr/>
                  <a:lstStyle/>
                  <a:p>
                    <a:pPr>
                      <a:defRPr sz="800" b="0" i="0" u="none" strike="noStrike" baseline="0">
                        <a:solidFill>
                          <a:srgbClr val="000000"/>
                        </a:solidFill>
                        <a:latin typeface="Calibri"/>
                        <a:ea typeface="Calibri"/>
                        <a:cs typeface="Calibri"/>
                      </a:defRPr>
                    </a:pPr>
                    <a:r>
                      <a:t>Chile</a:t>
                    </a:r>
                  </a:p>
                </c:rich>
              </c:tx>
              <c:spPr>
                <a:noFill/>
                <a:ln w="25400">
                  <a:noFill/>
                </a:ln>
              </c:spPr>
            </c:dLbl>
            <c:dLbl>
              <c:idx val="10"/>
              <c:tx>
                <c:rich>
                  <a:bodyPr/>
                  <a:lstStyle/>
                  <a:p>
                    <a:pPr>
                      <a:defRPr sz="800" b="0" i="0" u="none" strike="noStrike" baseline="0">
                        <a:solidFill>
                          <a:srgbClr val="000000"/>
                        </a:solidFill>
                        <a:latin typeface="Calibri"/>
                        <a:ea typeface="Calibri"/>
                        <a:cs typeface="Calibri"/>
                      </a:defRPr>
                    </a:pPr>
                    <a:r>
                      <a:t>China</a:t>
                    </a:r>
                  </a:p>
                </c:rich>
              </c:tx>
              <c:spPr>
                <a:noFill/>
                <a:ln w="25400">
                  <a:noFill/>
                </a:ln>
              </c:spPr>
            </c:dLbl>
            <c:dLbl>
              <c:idx val="11"/>
              <c:tx>
                <c:rich>
                  <a:bodyPr/>
                  <a:lstStyle/>
                  <a:p>
                    <a:pPr>
                      <a:defRPr sz="800" b="0" i="0" u="none" strike="noStrike" baseline="0">
                        <a:solidFill>
                          <a:srgbClr val="000000"/>
                        </a:solidFill>
                        <a:latin typeface="Calibri"/>
                        <a:ea typeface="Calibri"/>
                        <a:cs typeface="Calibri"/>
                      </a:defRPr>
                    </a:pPr>
                    <a:r>
                      <a:t>Colombia</a:t>
                    </a:r>
                  </a:p>
                </c:rich>
              </c:tx>
              <c:spPr>
                <a:noFill/>
                <a:ln w="25400">
                  <a:noFill/>
                </a:ln>
              </c:spPr>
            </c:dLbl>
            <c:dLbl>
              <c:idx val="12"/>
              <c:tx>
                <c:rich>
                  <a:bodyPr/>
                  <a:lstStyle/>
                  <a:p>
                    <a:pPr>
                      <a:defRPr sz="800" b="0" i="0" u="none" strike="noStrike" baseline="0">
                        <a:solidFill>
                          <a:srgbClr val="000000"/>
                        </a:solidFill>
                        <a:latin typeface="Calibri"/>
                        <a:ea typeface="Calibri"/>
                        <a:cs typeface="Calibri"/>
                      </a:defRPr>
                    </a:pPr>
                    <a:r>
                      <a:t>Costa Rica</a:t>
                    </a:r>
                  </a:p>
                </c:rich>
              </c:tx>
              <c:spPr>
                <a:noFill/>
                <a:ln w="25400">
                  <a:noFill/>
                </a:ln>
              </c:spPr>
            </c:dLbl>
            <c:dLbl>
              <c:idx val="13"/>
              <c:tx>
                <c:rich>
                  <a:bodyPr/>
                  <a:lstStyle/>
                  <a:p>
                    <a:pPr>
                      <a:defRPr sz="800" b="0" i="0" u="none" strike="noStrike" baseline="0">
                        <a:solidFill>
                          <a:srgbClr val="000000"/>
                        </a:solidFill>
                        <a:latin typeface="Calibri"/>
                        <a:ea typeface="Calibri"/>
                        <a:cs typeface="Calibri"/>
                      </a:defRPr>
                    </a:pPr>
                    <a:r>
                      <a:t>Dominican Republic</a:t>
                    </a:r>
                  </a:p>
                </c:rich>
              </c:tx>
              <c:spPr>
                <a:noFill/>
                <a:ln w="25400">
                  <a:noFill/>
                </a:ln>
              </c:spPr>
            </c:dLbl>
            <c:dLbl>
              <c:idx val="14"/>
              <c:tx>
                <c:rich>
                  <a:bodyPr/>
                  <a:lstStyle/>
                  <a:p>
                    <a:pPr>
                      <a:defRPr sz="800" b="0" i="0" u="none" strike="noStrike" baseline="0">
                        <a:solidFill>
                          <a:srgbClr val="000000"/>
                        </a:solidFill>
                        <a:latin typeface="Calibri"/>
                        <a:ea typeface="Calibri"/>
                        <a:cs typeface="Calibri"/>
                      </a:defRPr>
                    </a:pPr>
                    <a:r>
                      <a:t>DRC</a:t>
                    </a:r>
                  </a:p>
                </c:rich>
              </c:tx>
              <c:spPr>
                <a:noFill/>
                <a:ln w="25400">
                  <a:noFill/>
                </a:ln>
              </c:spPr>
            </c:dLbl>
            <c:dLbl>
              <c:idx val="15"/>
              <c:tx>
                <c:rich>
                  <a:bodyPr/>
                  <a:lstStyle/>
                  <a:p>
                    <a:pPr>
                      <a:defRPr sz="800" b="0" i="0" u="none" strike="noStrike" baseline="0">
                        <a:solidFill>
                          <a:srgbClr val="000000"/>
                        </a:solidFill>
                        <a:latin typeface="Calibri"/>
                        <a:ea typeface="Calibri"/>
                        <a:cs typeface="Calibri"/>
                      </a:defRPr>
                    </a:pPr>
                    <a:r>
                      <a:t>Ecuador</a:t>
                    </a:r>
                  </a:p>
                </c:rich>
              </c:tx>
              <c:spPr>
                <a:noFill/>
                <a:ln w="25400">
                  <a:noFill/>
                </a:ln>
              </c:spPr>
            </c:dLbl>
            <c:dLbl>
              <c:idx val="16"/>
              <c:tx>
                <c:rich>
                  <a:bodyPr/>
                  <a:lstStyle/>
                  <a:p>
                    <a:pPr>
                      <a:defRPr sz="800" b="0" i="0" u="none" strike="noStrike" baseline="0">
                        <a:solidFill>
                          <a:srgbClr val="000000"/>
                        </a:solidFill>
                        <a:latin typeface="Calibri"/>
                        <a:ea typeface="Calibri"/>
                        <a:cs typeface="Calibri"/>
                      </a:defRPr>
                    </a:pPr>
                    <a:r>
                      <a:t>El Salvador</a:t>
                    </a:r>
                  </a:p>
                </c:rich>
              </c:tx>
              <c:spPr>
                <a:noFill/>
                <a:ln w="25400">
                  <a:noFill/>
                </a:ln>
              </c:spPr>
            </c:dLbl>
            <c:dLbl>
              <c:idx val="17"/>
              <c:tx>
                <c:rich>
                  <a:bodyPr/>
                  <a:lstStyle/>
                  <a:p>
                    <a:pPr>
                      <a:defRPr sz="800" b="0" i="0" u="none" strike="noStrike" baseline="0">
                        <a:solidFill>
                          <a:srgbClr val="000000"/>
                        </a:solidFill>
                        <a:latin typeface="Calibri"/>
                        <a:ea typeface="Calibri"/>
                        <a:cs typeface="Calibri"/>
                      </a:defRPr>
                    </a:pPr>
                    <a:r>
                      <a:t>Ethiopia</a:t>
                    </a:r>
                  </a:p>
                </c:rich>
              </c:tx>
              <c:spPr>
                <a:noFill/>
                <a:ln w="25400">
                  <a:noFill/>
                </a:ln>
              </c:spPr>
            </c:dLbl>
            <c:dLbl>
              <c:idx val="18"/>
              <c:tx>
                <c:rich>
                  <a:bodyPr/>
                  <a:lstStyle/>
                  <a:p>
                    <a:pPr>
                      <a:defRPr sz="800" b="0" i="0" u="none" strike="noStrike" baseline="0">
                        <a:solidFill>
                          <a:srgbClr val="000000"/>
                        </a:solidFill>
                        <a:latin typeface="Calibri"/>
                        <a:ea typeface="Calibri"/>
                        <a:cs typeface="Calibri"/>
                      </a:defRPr>
                    </a:pPr>
                    <a:r>
                      <a:t>Georgia</a:t>
                    </a:r>
                  </a:p>
                </c:rich>
              </c:tx>
              <c:spPr>
                <a:noFill/>
                <a:ln w="25400">
                  <a:noFill/>
                </a:ln>
              </c:spPr>
            </c:dLbl>
            <c:dLbl>
              <c:idx val="19"/>
              <c:tx>
                <c:rich>
                  <a:bodyPr/>
                  <a:lstStyle/>
                  <a:p>
                    <a:pPr>
                      <a:defRPr sz="800" b="0" i="0" u="none" strike="noStrike" baseline="0">
                        <a:solidFill>
                          <a:srgbClr val="000000"/>
                        </a:solidFill>
                        <a:latin typeface="Calibri"/>
                        <a:ea typeface="Calibri"/>
                        <a:cs typeface="Calibri"/>
                      </a:defRPr>
                    </a:pPr>
                    <a:r>
                      <a:t>Ghana</a:t>
                    </a:r>
                  </a:p>
                </c:rich>
              </c:tx>
              <c:spPr>
                <a:noFill/>
                <a:ln w="25400">
                  <a:noFill/>
                </a:ln>
              </c:spPr>
            </c:dLbl>
            <c:dLbl>
              <c:idx val="20"/>
              <c:tx>
                <c:rich>
                  <a:bodyPr/>
                  <a:lstStyle/>
                  <a:p>
                    <a:pPr>
                      <a:defRPr sz="800" b="0" i="0" u="none" strike="noStrike" baseline="0">
                        <a:solidFill>
                          <a:srgbClr val="000000"/>
                        </a:solidFill>
                        <a:latin typeface="Calibri"/>
                        <a:ea typeface="Calibri"/>
                        <a:cs typeface="Calibri"/>
                      </a:defRPr>
                    </a:pPr>
                    <a:r>
                      <a:t>Guatemala</a:t>
                    </a:r>
                  </a:p>
                </c:rich>
              </c:tx>
              <c:spPr>
                <a:noFill/>
                <a:ln w="25400">
                  <a:noFill/>
                </a:ln>
              </c:spPr>
            </c:dLbl>
            <c:dLbl>
              <c:idx val="21"/>
              <c:tx>
                <c:rich>
                  <a:bodyPr/>
                  <a:lstStyle/>
                  <a:p>
                    <a:pPr>
                      <a:defRPr sz="800" b="0" i="0" u="none" strike="noStrike" baseline="0">
                        <a:solidFill>
                          <a:srgbClr val="000000"/>
                        </a:solidFill>
                        <a:latin typeface="Calibri"/>
                        <a:ea typeface="Calibri"/>
                        <a:cs typeface="Calibri"/>
                      </a:defRPr>
                    </a:pPr>
                    <a:r>
                      <a:t>Haiti</a:t>
                    </a:r>
                  </a:p>
                </c:rich>
              </c:tx>
              <c:spPr>
                <a:noFill/>
                <a:ln w="25400">
                  <a:noFill/>
                </a:ln>
              </c:spPr>
            </c:dLbl>
            <c:dLbl>
              <c:idx val="22"/>
              <c:tx>
                <c:rich>
                  <a:bodyPr/>
                  <a:lstStyle/>
                  <a:p>
                    <a:pPr>
                      <a:defRPr sz="800" b="0" i="0" u="none" strike="noStrike" baseline="0">
                        <a:solidFill>
                          <a:srgbClr val="000000"/>
                        </a:solidFill>
                        <a:latin typeface="Calibri"/>
                        <a:ea typeface="Calibri"/>
                        <a:cs typeface="Calibri"/>
                      </a:defRPr>
                    </a:pPr>
                    <a:r>
                      <a:t>Honduras</a:t>
                    </a:r>
                  </a:p>
                </c:rich>
              </c:tx>
              <c:spPr>
                <a:noFill/>
                <a:ln w="25400">
                  <a:noFill/>
                </a:ln>
              </c:spPr>
            </c:dLbl>
            <c:dLbl>
              <c:idx val="23"/>
              <c:tx>
                <c:rich>
                  <a:bodyPr/>
                  <a:lstStyle/>
                  <a:p>
                    <a:pPr>
                      <a:defRPr sz="800" b="0" i="0" u="none" strike="noStrike" baseline="0">
                        <a:solidFill>
                          <a:srgbClr val="000000"/>
                        </a:solidFill>
                        <a:latin typeface="Calibri"/>
                        <a:ea typeface="Calibri"/>
                        <a:cs typeface="Calibri"/>
                      </a:defRPr>
                    </a:pPr>
                    <a:r>
                      <a:t>India</a:t>
                    </a:r>
                  </a:p>
                </c:rich>
              </c:tx>
              <c:spPr>
                <a:noFill/>
                <a:ln w="25400">
                  <a:noFill/>
                </a:ln>
              </c:spPr>
            </c:dLbl>
            <c:dLbl>
              <c:idx val="24"/>
              <c:tx>
                <c:rich>
                  <a:bodyPr/>
                  <a:lstStyle/>
                  <a:p>
                    <a:pPr>
                      <a:defRPr sz="800" b="0" i="0" u="none" strike="noStrike" baseline="0">
                        <a:solidFill>
                          <a:srgbClr val="000000"/>
                        </a:solidFill>
                        <a:latin typeface="Calibri"/>
                        <a:ea typeface="Calibri"/>
                        <a:cs typeface="Calibri"/>
                      </a:defRPr>
                    </a:pPr>
                    <a:r>
                      <a:t>Indonesia</a:t>
                    </a:r>
                  </a:p>
                </c:rich>
              </c:tx>
              <c:spPr>
                <a:noFill/>
                <a:ln w="25400">
                  <a:noFill/>
                </a:ln>
              </c:spPr>
            </c:dLbl>
            <c:dLbl>
              <c:idx val="25"/>
              <c:tx>
                <c:rich>
                  <a:bodyPr/>
                  <a:lstStyle/>
                  <a:p>
                    <a:pPr>
                      <a:defRPr sz="800" b="0" i="0" u="none" strike="noStrike" baseline="0">
                        <a:solidFill>
                          <a:srgbClr val="000000"/>
                        </a:solidFill>
                        <a:latin typeface="Calibri"/>
                        <a:ea typeface="Calibri"/>
                        <a:cs typeface="Calibri"/>
                      </a:defRPr>
                    </a:pPr>
                    <a:r>
                      <a:t>Jamaica</a:t>
                    </a:r>
                  </a:p>
                </c:rich>
              </c:tx>
              <c:spPr>
                <a:noFill/>
                <a:ln w="25400">
                  <a:noFill/>
                </a:ln>
              </c:spPr>
            </c:dLbl>
            <c:dLbl>
              <c:idx val="26"/>
              <c:tx>
                <c:rich>
                  <a:bodyPr/>
                  <a:lstStyle/>
                  <a:p>
                    <a:pPr>
                      <a:defRPr sz="800" b="0" i="0" u="none" strike="noStrike" baseline="0">
                        <a:solidFill>
                          <a:srgbClr val="000000"/>
                        </a:solidFill>
                        <a:latin typeface="Calibri"/>
                        <a:ea typeface="Calibri"/>
                        <a:cs typeface="Calibri"/>
                      </a:defRPr>
                    </a:pPr>
                    <a:r>
                      <a:t>Kenya</a:t>
                    </a:r>
                  </a:p>
                </c:rich>
              </c:tx>
              <c:spPr>
                <a:noFill/>
                <a:ln w="25400">
                  <a:noFill/>
                </a:ln>
              </c:spPr>
            </c:dLbl>
            <c:dLbl>
              <c:idx val="27"/>
              <c:tx>
                <c:rich>
                  <a:bodyPr/>
                  <a:lstStyle/>
                  <a:p>
                    <a:pPr>
                      <a:defRPr sz="800" b="0" i="0" u="none" strike="noStrike" baseline="0">
                        <a:solidFill>
                          <a:srgbClr val="000000"/>
                        </a:solidFill>
                        <a:latin typeface="Calibri"/>
                        <a:ea typeface="Calibri"/>
                        <a:cs typeface="Calibri"/>
                      </a:defRPr>
                    </a:pPr>
                    <a:r>
                      <a:t>Kyrgyzstan</a:t>
                    </a:r>
                  </a:p>
                </c:rich>
              </c:tx>
              <c:spPr>
                <a:noFill/>
                <a:ln w="25400">
                  <a:noFill/>
                </a:ln>
              </c:spPr>
            </c:dLbl>
            <c:dLbl>
              <c:idx val="28"/>
              <c:tx>
                <c:rich>
                  <a:bodyPr/>
                  <a:lstStyle/>
                  <a:p>
                    <a:pPr>
                      <a:defRPr sz="800" b="0" i="0" u="none" strike="noStrike" baseline="0">
                        <a:solidFill>
                          <a:srgbClr val="000000"/>
                        </a:solidFill>
                        <a:latin typeface="Calibri"/>
                        <a:ea typeface="Calibri"/>
                        <a:cs typeface="Calibri"/>
                      </a:defRPr>
                    </a:pPr>
                    <a:r>
                      <a:t>Lebanon</a:t>
                    </a:r>
                  </a:p>
                </c:rich>
              </c:tx>
              <c:spPr>
                <a:noFill/>
                <a:ln w="25400">
                  <a:noFill/>
                </a:ln>
              </c:spPr>
            </c:dLbl>
            <c:dLbl>
              <c:idx val="29"/>
              <c:tx>
                <c:rich>
                  <a:bodyPr/>
                  <a:lstStyle/>
                  <a:p>
                    <a:pPr>
                      <a:defRPr sz="800" b="0" i="0" u="none" strike="noStrike" baseline="0">
                        <a:solidFill>
                          <a:srgbClr val="000000"/>
                        </a:solidFill>
                        <a:latin typeface="Calibri"/>
                        <a:ea typeface="Calibri"/>
                        <a:cs typeface="Calibri"/>
                      </a:defRPr>
                    </a:pPr>
                    <a:r>
                      <a:t>Madagascar</a:t>
                    </a:r>
                  </a:p>
                </c:rich>
              </c:tx>
              <c:spPr>
                <a:noFill/>
                <a:ln w="25400">
                  <a:noFill/>
                </a:ln>
              </c:spPr>
            </c:dLbl>
            <c:dLbl>
              <c:idx val="30"/>
              <c:tx>
                <c:rich>
                  <a:bodyPr/>
                  <a:lstStyle/>
                  <a:p>
                    <a:pPr>
                      <a:defRPr sz="800" b="0" i="0" u="none" strike="noStrike" baseline="0">
                        <a:solidFill>
                          <a:srgbClr val="000000"/>
                        </a:solidFill>
                        <a:latin typeface="Calibri"/>
                        <a:ea typeface="Calibri"/>
                        <a:cs typeface="Calibri"/>
                      </a:defRPr>
                    </a:pPr>
                    <a:r>
                      <a:t>Mexico</a:t>
                    </a:r>
                  </a:p>
                </c:rich>
              </c:tx>
              <c:spPr>
                <a:noFill/>
                <a:ln w="25400">
                  <a:noFill/>
                </a:ln>
              </c:spPr>
            </c:dLbl>
            <c:dLbl>
              <c:idx val="31"/>
              <c:tx>
                <c:rich>
                  <a:bodyPr/>
                  <a:lstStyle/>
                  <a:p>
                    <a:pPr>
                      <a:defRPr sz="800" b="0" i="0" u="none" strike="noStrike" baseline="0">
                        <a:solidFill>
                          <a:srgbClr val="000000"/>
                        </a:solidFill>
                        <a:latin typeface="Calibri"/>
                        <a:ea typeface="Calibri"/>
                        <a:cs typeface="Calibri"/>
                      </a:defRPr>
                    </a:pPr>
                    <a:r>
                      <a:t>Mongolia</a:t>
                    </a:r>
                  </a:p>
                </c:rich>
              </c:tx>
              <c:spPr>
                <a:noFill/>
                <a:ln w="25400">
                  <a:noFill/>
                </a:ln>
              </c:spPr>
            </c:dLbl>
            <c:dLbl>
              <c:idx val="32"/>
              <c:tx>
                <c:rich>
                  <a:bodyPr/>
                  <a:lstStyle/>
                  <a:p>
                    <a:pPr>
                      <a:defRPr sz="800" b="0" i="0" u="none" strike="noStrike" baseline="0">
                        <a:solidFill>
                          <a:srgbClr val="000000"/>
                        </a:solidFill>
                        <a:latin typeface="Calibri"/>
                        <a:ea typeface="Calibri"/>
                        <a:cs typeface="Calibri"/>
                      </a:defRPr>
                    </a:pPr>
                    <a:r>
                      <a:t>Morocco</a:t>
                    </a:r>
                  </a:p>
                </c:rich>
              </c:tx>
              <c:spPr>
                <a:noFill/>
                <a:ln w="25400">
                  <a:noFill/>
                </a:ln>
              </c:spPr>
            </c:dLbl>
            <c:dLbl>
              <c:idx val="33"/>
              <c:tx>
                <c:rich>
                  <a:bodyPr/>
                  <a:lstStyle/>
                  <a:p>
                    <a:pPr>
                      <a:defRPr sz="800" b="0" i="0" u="none" strike="noStrike" baseline="0">
                        <a:solidFill>
                          <a:srgbClr val="000000"/>
                        </a:solidFill>
                        <a:latin typeface="Calibri"/>
                        <a:ea typeface="Calibri"/>
                        <a:cs typeface="Calibri"/>
                      </a:defRPr>
                    </a:pPr>
                    <a:r>
                      <a:t>Mozambique</a:t>
                    </a:r>
                  </a:p>
                </c:rich>
              </c:tx>
              <c:spPr>
                <a:noFill/>
                <a:ln w="25400">
                  <a:noFill/>
                </a:ln>
              </c:spPr>
            </c:dLbl>
            <c:dLbl>
              <c:idx val="34"/>
              <c:tx>
                <c:rich>
                  <a:bodyPr/>
                  <a:lstStyle/>
                  <a:p>
                    <a:pPr>
                      <a:defRPr sz="800" b="0" i="0" u="none" strike="noStrike" baseline="0">
                        <a:solidFill>
                          <a:srgbClr val="000000"/>
                        </a:solidFill>
                        <a:latin typeface="Calibri"/>
                        <a:ea typeface="Calibri"/>
                        <a:cs typeface="Calibri"/>
                      </a:defRPr>
                    </a:pPr>
                    <a:r>
                      <a:t>Nepal</a:t>
                    </a:r>
                  </a:p>
                </c:rich>
              </c:tx>
              <c:spPr>
                <a:noFill/>
                <a:ln w="25400">
                  <a:noFill/>
                </a:ln>
              </c:spPr>
            </c:dLbl>
            <c:dLbl>
              <c:idx val="35"/>
              <c:tx>
                <c:rich>
                  <a:bodyPr/>
                  <a:lstStyle/>
                  <a:p>
                    <a:pPr>
                      <a:defRPr sz="800" b="0" i="0" u="none" strike="noStrike" baseline="0">
                        <a:solidFill>
                          <a:srgbClr val="000000"/>
                        </a:solidFill>
                        <a:latin typeface="Calibri"/>
                        <a:ea typeface="Calibri"/>
                        <a:cs typeface="Calibri"/>
                      </a:defRPr>
                    </a:pPr>
                    <a:r>
                      <a:t>Nicaragua</a:t>
                    </a:r>
                  </a:p>
                </c:rich>
              </c:tx>
              <c:spPr>
                <a:noFill/>
                <a:ln w="25400">
                  <a:noFill/>
                </a:ln>
              </c:spPr>
            </c:dLbl>
            <c:dLbl>
              <c:idx val="36"/>
              <c:tx>
                <c:rich>
                  <a:bodyPr/>
                  <a:lstStyle/>
                  <a:p>
                    <a:pPr>
                      <a:defRPr sz="800" b="0" i="0" u="none" strike="noStrike" baseline="0">
                        <a:solidFill>
                          <a:srgbClr val="000000"/>
                        </a:solidFill>
                        <a:latin typeface="Calibri"/>
                        <a:ea typeface="Calibri"/>
                        <a:cs typeface="Calibri"/>
                      </a:defRPr>
                    </a:pPr>
                    <a:r>
                      <a:t>Nigeria</a:t>
                    </a:r>
                  </a:p>
                </c:rich>
              </c:tx>
              <c:spPr>
                <a:noFill/>
                <a:ln w="25400">
                  <a:noFill/>
                </a:ln>
              </c:spPr>
            </c:dLbl>
            <c:dLbl>
              <c:idx val="37"/>
              <c:tx>
                <c:rich>
                  <a:bodyPr/>
                  <a:lstStyle/>
                  <a:p>
                    <a:pPr>
                      <a:defRPr sz="800" b="0" i="0" u="none" strike="noStrike" baseline="0">
                        <a:solidFill>
                          <a:srgbClr val="000000"/>
                        </a:solidFill>
                        <a:latin typeface="Calibri"/>
                        <a:ea typeface="Calibri"/>
                        <a:cs typeface="Calibri"/>
                      </a:defRPr>
                    </a:pPr>
                    <a:r>
                      <a:t>Pakistan</a:t>
                    </a:r>
                  </a:p>
                </c:rich>
              </c:tx>
              <c:spPr>
                <a:noFill/>
                <a:ln w="25400">
                  <a:noFill/>
                </a:ln>
              </c:spPr>
            </c:dLbl>
            <c:dLbl>
              <c:idx val="38"/>
              <c:tx>
                <c:rich>
                  <a:bodyPr/>
                  <a:lstStyle/>
                  <a:p>
                    <a:pPr>
                      <a:defRPr sz="800" b="0" i="0" u="none" strike="noStrike" baseline="0">
                        <a:solidFill>
                          <a:srgbClr val="000000"/>
                        </a:solidFill>
                        <a:latin typeface="Calibri"/>
                        <a:ea typeface="Calibri"/>
                        <a:cs typeface="Calibri"/>
                      </a:defRPr>
                    </a:pPr>
                    <a:r>
                      <a:t>Panama</a:t>
                    </a:r>
                  </a:p>
                </c:rich>
              </c:tx>
              <c:spPr>
                <a:noFill/>
                <a:ln w="25400">
                  <a:noFill/>
                </a:ln>
              </c:spPr>
            </c:dLbl>
            <c:dLbl>
              <c:idx val="39"/>
              <c:tx>
                <c:rich>
                  <a:bodyPr/>
                  <a:lstStyle/>
                  <a:p>
                    <a:pPr>
                      <a:defRPr sz="800" b="0" i="0" u="none" strike="noStrike" baseline="0">
                        <a:solidFill>
                          <a:srgbClr val="000000"/>
                        </a:solidFill>
                        <a:latin typeface="Calibri"/>
                        <a:ea typeface="Calibri"/>
                        <a:cs typeface="Calibri"/>
                      </a:defRPr>
                    </a:pPr>
                    <a:r>
                      <a:t>Paraguay</a:t>
                    </a:r>
                  </a:p>
                </c:rich>
              </c:tx>
              <c:spPr>
                <a:noFill/>
                <a:ln w="25400">
                  <a:noFill/>
                </a:ln>
              </c:spPr>
            </c:dLbl>
            <c:dLbl>
              <c:idx val="40"/>
              <c:tx>
                <c:rich>
                  <a:bodyPr/>
                  <a:lstStyle/>
                  <a:p>
                    <a:pPr>
                      <a:defRPr sz="800" b="0" i="0" u="none" strike="noStrike" baseline="0">
                        <a:solidFill>
                          <a:srgbClr val="000000"/>
                        </a:solidFill>
                        <a:latin typeface="Calibri"/>
                        <a:ea typeface="Calibri"/>
                        <a:cs typeface="Calibri"/>
                      </a:defRPr>
                    </a:pPr>
                    <a:r>
                      <a:t>Peru</a:t>
                    </a:r>
                  </a:p>
                </c:rich>
              </c:tx>
              <c:spPr>
                <a:noFill/>
                <a:ln w="25400">
                  <a:noFill/>
                </a:ln>
              </c:spPr>
            </c:dLbl>
            <c:dLbl>
              <c:idx val="41"/>
              <c:tx>
                <c:rich>
                  <a:bodyPr/>
                  <a:lstStyle/>
                  <a:p>
                    <a:pPr>
                      <a:defRPr sz="800" b="0" i="0" u="none" strike="noStrike" baseline="0">
                        <a:solidFill>
                          <a:srgbClr val="000000"/>
                        </a:solidFill>
                        <a:latin typeface="Calibri"/>
                        <a:ea typeface="Calibri"/>
                        <a:cs typeface="Calibri"/>
                      </a:defRPr>
                    </a:pPr>
                    <a:r>
                      <a:t>Philippines</a:t>
                    </a:r>
                  </a:p>
                </c:rich>
              </c:tx>
              <c:spPr>
                <a:noFill/>
                <a:ln w="25400">
                  <a:noFill/>
                </a:ln>
              </c:spPr>
            </c:dLbl>
            <c:dLbl>
              <c:idx val="42"/>
              <c:tx>
                <c:rich>
                  <a:bodyPr/>
                  <a:lstStyle/>
                  <a:p>
                    <a:pPr>
                      <a:defRPr sz="800" b="0" i="0" u="none" strike="noStrike" baseline="0">
                        <a:solidFill>
                          <a:srgbClr val="000000"/>
                        </a:solidFill>
                        <a:latin typeface="Calibri"/>
                        <a:ea typeface="Calibri"/>
                        <a:cs typeface="Calibri"/>
                      </a:defRPr>
                    </a:pPr>
                    <a:r>
                      <a:t>Rwanda</a:t>
                    </a:r>
                  </a:p>
                </c:rich>
              </c:tx>
              <c:spPr>
                <a:noFill/>
                <a:ln w="25400">
                  <a:noFill/>
                </a:ln>
              </c:spPr>
            </c:dLbl>
            <c:dLbl>
              <c:idx val="43"/>
              <c:tx>
                <c:rich>
                  <a:bodyPr/>
                  <a:lstStyle/>
                  <a:p>
                    <a:pPr>
                      <a:defRPr sz="800" b="0" i="0" u="none" strike="noStrike" baseline="0">
                        <a:solidFill>
                          <a:srgbClr val="000000"/>
                        </a:solidFill>
                        <a:latin typeface="Calibri"/>
                        <a:ea typeface="Calibri"/>
                        <a:cs typeface="Calibri"/>
                      </a:defRPr>
                    </a:pPr>
                    <a:r>
                      <a:t>Senegal</a:t>
                    </a:r>
                  </a:p>
                </c:rich>
              </c:tx>
              <c:spPr>
                <a:noFill/>
                <a:ln w="25400">
                  <a:noFill/>
                </a:ln>
              </c:spPr>
            </c:dLbl>
            <c:dLbl>
              <c:idx val="44"/>
              <c:tx>
                <c:rich>
                  <a:bodyPr/>
                  <a:lstStyle/>
                  <a:p>
                    <a:pPr>
                      <a:defRPr sz="800" b="0" i="0" u="none" strike="noStrike" baseline="0">
                        <a:solidFill>
                          <a:srgbClr val="000000"/>
                        </a:solidFill>
                        <a:latin typeface="Calibri"/>
                        <a:ea typeface="Calibri"/>
                        <a:cs typeface="Calibri"/>
                      </a:defRPr>
                    </a:pPr>
                    <a:r>
                      <a:t>Sri Lanka</a:t>
                    </a:r>
                  </a:p>
                </c:rich>
              </c:tx>
              <c:spPr>
                <a:noFill/>
                <a:ln w="25400">
                  <a:noFill/>
                </a:ln>
              </c:spPr>
            </c:dLbl>
            <c:dLbl>
              <c:idx val="45"/>
              <c:tx>
                <c:rich>
                  <a:bodyPr/>
                  <a:lstStyle/>
                  <a:p>
                    <a:pPr>
                      <a:defRPr sz="800" b="0" i="0" u="none" strike="noStrike" baseline="0">
                        <a:solidFill>
                          <a:srgbClr val="000000"/>
                        </a:solidFill>
                        <a:latin typeface="Calibri"/>
                        <a:ea typeface="Calibri"/>
                        <a:cs typeface="Calibri"/>
                      </a:defRPr>
                    </a:pPr>
                    <a:r>
                      <a:t>Tajikistan</a:t>
                    </a:r>
                  </a:p>
                </c:rich>
              </c:tx>
              <c:spPr>
                <a:noFill/>
                <a:ln w="25400">
                  <a:noFill/>
                </a:ln>
              </c:spPr>
            </c:dLbl>
            <c:dLbl>
              <c:idx val="46"/>
              <c:tx>
                <c:rich>
                  <a:bodyPr/>
                  <a:lstStyle/>
                  <a:p>
                    <a:pPr>
                      <a:defRPr sz="800" b="0" i="0" u="none" strike="noStrike" baseline="0">
                        <a:solidFill>
                          <a:srgbClr val="000000"/>
                        </a:solidFill>
                        <a:latin typeface="Calibri"/>
                        <a:ea typeface="Calibri"/>
                        <a:cs typeface="Calibri"/>
                      </a:defRPr>
                    </a:pPr>
                    <a:r>
                      <a:t>Tanzania</a:t>
                    </a:r>
                  </a:p>
                </c:rich>
              </c:tx>
              <c:spPr>
                <a:noFill/>
                <a:ln w="25400">
                  <a:noFill/>
                </a:ln>
              </c:spPr>
            </c:dLbl>
            <c:dLbl>
              <c:idx val="47"/>
              <c:tx>
                <c:rich>
                  <a:bodyPr/>
                  <a:lstStyle/>
                  <a:p>
                    <a:pPr>
                      <a:defRPr sz="800" b="0" i="0" u="none" strike="noStrike" baseline="0">
                        <a:solidFill>
                          <a:srgbClr val="000000"/>
                        </a:solidFill>
                        <a:latin typeface="Calibri"/>
                        <a:ea typeface="Calibri"/>
                        <a:cs typeface="Calibri"/>
                      </a:defRPr>
                    </a:pPr>
                    <a:r>
                      <a:t>Thailand</a:t>
                    </a:r>
                  </a:p>
                </c:rich>
              </c:tx>
              <c:spPr>
                <a:noFill/>
                <a:ln w="25400">
                  <a:noFill/>
                </a:ln>
              </c:spPr>
            </c:dLbl>
            <c:dLbl>
              <c:idx val="48"/>
              <c:tx>
                <c:rich>
                  <a:bodyPr/>
                  <a:lstStyle/>
                  <a:p>
                    <a:pPr>
                      <a:defRPr sz="800" b="0" i="0" u="none" strike="noStrike" baseline="0">
                        <a:solidFill>
                          <a:srgbClr val="000000"/>
                        </a:solidFill>
                        <a:latin typeface="Calibri"/>
                        <a:ea typeface="Calibri"/>
                        <a:cs typeface="Calibri"/>
                      </a:defRPr>
                    </a:pPr>
                    <a:r>
                      <a:t>Trinidad and Tobago</a:t>
                    </a:r>
                  </a:p>
                </c:rich>
              </c:tx>
              <c:spPr>
                <a:noFill/>
                <a:ln w="25400">
                  <a:noFill/>
                </a:ln>
              </c:spPr>
            </c:dLbl>
            <c:dLbl>
              <c:idx val="49"/>
              <c:tx>
                <c:rich>
                  <a:bodyPr/>
                  <a:lstStyle/>
                  <a:p>
                    <a:pPr>
                      <a:defRPr sz="800" b="0" i="0" u="none" strike="noStrike" baseline="0">
                        <a:solidFill>
                          <a:srgbClr val="000000"/>
                        </a:solidFill>
                        <a:latin typeface="Calibri"/>
                        <a:ea typeface="Calibri"/>
                        <a:cs typeface="Calibri"/>
                      </a:defRPr>
                    </a:pPr>
                    <a:r>
                      <a:t>Turkey</a:t>
                    </a:r>
                  </a:p>
                </c:rich>
              </c:tx>
              <c:spPr>
                <a:noFill/>
                <a:ln w="25400">
                  <a:noFill/>
                </a:ln>
              </c:spPr>
            </c:dLbl>
            <c:dLbl>
              <c:idx val="50"/>
              <c:tx>
                <c:rich>
                  <a:bodyPr/>
                  <a:lstStyle/>
                  <a:p>
                    <a:pPr>
                      <a:defRPr sz="800" b="0" i="0" u="none" strike="noStrike" baseline="0">
                        <a:solidFill>
                          <a:srgbClr val="000000"/>
                        </a:solidFill>
                        <a:latin typeface="Calibri"/>
                        <a:ea typeface="Calibri"/>
                        <a:cs typeface="Calibri"/>
                      </a:defRPr>
                    </a:pPr>
                    <a:r>
                      <a:t>Uganda</a:t>
                    </a:r>
                  </a:p>
                </c:rich>
              </c:tx>
              <c:spPr>
                <a:noFill/>
                <a:ln w="25400">
                  <a:noFill/>
                </a:ln>
              </c:spPr>
            </c:dLbl>
            <c:dLbl>
              <c:idx val="51"/>
              <c:tx>
                <c:rich>
                  <a:bodyPr/>
                  <a:lstStyle/>
                  <a:p>
                    <a:pPr>
                      <a:defRPr sz="800" b="0" i="0" u="none" strike="noStrike" baseline="0">
                        <a:solidFill>
                          <a:srgbClr val="000000"/>
                        </a:solidFill>
                        <a:latin typeface="Calibri"/>
                        <a:ea typeface="Calibri"/>
                        <a:cs typeface="Calibri"/>
                      </a:defRPr>
                    </a:pPr>
                    <a:r>
                      <a:t>Uruguay</a:t>
                    </a:r>
                  </a:p>
                </c:rich>
              </c:tx>
              <c:spPr>
                <a:noFill/>
                <a:ln w="25400">
                  <a:noFill/>
                </a:ln>
              </c:spPr>
            </c:dLbl>
            <c:dLbl>
              <c:idx val="52"/>
              <c:tx>
                <c:rich>
                  <a:bodyPr/>
                  <a:lstStyle/>
                  <a:p>
                    <a:pPr>
                      <a:defRPr sz="800" b="0" i="0" u="none" strike="noStrike" baseline="0">
                        <a:solidFill>
                          <a:srgbClr val="000000"/>
                        </a:solidFill>
                        <a:latin typeface="Calibri"/>
                        <a:ea typeface="Calibri"/>
                        <a:cs typeface="Calibri"/>
                      </a:defRPr>
                    </a:pPr>
                    <a:r>
                      <a:t>Venezuela</a:t>
                    </a:r>
                  </a:p>
                </c:rich>
              </c:tx>
              <c:spPr>
                <a:noFill/>
                <a:ln w="25400">
                  <a:noFill/>
                </a:ln>
              </c:spPr>
            </c:dLbl>
            <c:dLbl>
              <c:idx val="53"/>
              <c:tx>
                <c:rich>
                  <a:bodyPr/>
                  <a:lstStyle/>
                  <a:p>
                    <a:pPr>
                      <a:defRPr sz="800" b="0" i="0" u="none" strike="noStrike" baseline="0">
                        <a:solidFill>
                          <a:srgbClr val="000000"/>
                        </a:solidFill>
                        <a:latin typeface="Calibri"/>
                        <a:ea typeface="Calibri"/>
                        <a:cs typeface="Calibri"/>
                      </a:defRPr>
                    </a:pPr>
                    <a:r>
                      <a:t>Vietnam</a:t>
                    </a:r>
                  </a:p>
                </c:rich>
              </c:tx>
              <c:spPr>
                <a:noFill/>
                <a:ln w="25400">
                  <a:noFill/>
                </a:ln>
              </c:spPr>
            </c:dLbl>
            <c:dLbl>
              <c:idx val="54"/>
              <c:tx>
                <c:rich>
                  <a:bodyPr/>
                  <a:lstStyle/>
                  <a:p>
                    <a:pPr>
                      <a:defRPr sz="800" b="0" i="0" u="none" strike="noStrike" baseline="0">
                        <a:solidFill>
                          <a:srgbClr val="000000"/>
                        </a:solidFill>
                        <a:latin typeface="Calibri"/>
                        <a:ea typeface="Calibri"/>
                        <a:cs typeface="Calibri"/>
                      </a:defRPr>
                    </a:pPr>
                    <a:r>
                      <a:t>Yemen</a:t>
                    </a:r>
                  </a:p>
                </c:rich>
              </c:tx>
              <c:spPr>
                <a:noFill/>
                <a:ln w="25400">
                  <a:noFill/>
                </a:ln>
              </c:spPr>
            </c:dLbl>
            <c:delete val="1"/>
          </c:dLbls>
          <c:xVal>
            <c:numRef>
              <c:f>i_scatter!$C$38:$BE$38</c:f>
              <c:numCache>
                <c:formatCode>General</c:formatCode>
                <c:ptCount val="55"/>
                <c:pt idx="0">
                  <c:v>30.8</c:v>
                </c:pt>
                <c:pt idx="1">
                  <c:v>43.9</c:v>
                </c:pt>
                <c:pt idx="2">
                  <c:v>29</c:v>
                </c:pt>
                <c:pt idx="3">
                  <c:v>42.7</c:v>
                </c:pt>
                <c:pt idx="4">
                  <c:v>71.7</c:v>
                </c:pt>
                <c:pt idx="5">
                  <c:v>43.1</c:v>
                </c:pt>
                <c:pt idx="6">
                  <c:v>44</c:v>
                </c:pt>
                <c:pt idx="7">
                  <c:v>54.1</c:v>
                </c:pt>
                <c:pt idx="8">
                  <c:v>31.6</c:v>
                </c:pt>
                <c:pt idx="9">
                  <c:v>48</c:v>
                </c:pt>
                <c:pt idx="10">
                  <c:v>34.1</c:v>
                </c:pt>
                <c:pt idx="11">
                  <c:v>58.6</c:v>
                </c:pt>
                <c:pt idx="12">
                  <c:v>42.5</c:v>
                </c:pt>
                <c:pt idx="13">
                  <c:v>47</c:v>
                </c:pt>
                <c:pt idx="14">
                  <c:v>36.799999999999997</c:v>
                </c:pt>
                <c:pt idx="15">
                  <c:v>59.7</c:v>
                </c:pt>
                <c:pt idx="16">
                  <c:v>57.5</c:v>
                </c:pt>
                <c:pt idx="17">
                  <c:v>31.3</c:v>
                </c:pt>
                <c:pt idx="18">
                  <c:v>45.1</c:v>
                </c:pt>
                <c:pt idx="19">
                  <c:v>60.9</c:v>
                </c:pt>
                <c:pt idx="20">
                  <c:v>51.8</c:v>
                </c:pt>
                <c:pt idx="21">
                  <c:v>33.4</c:v>
                </c:pt>
                <c:pt idx="22">
                  <c:v>49.3</c:v>
                </c:pt>
                <c:pt idx="23">
                  <c:v>62.1</c:v>
                </c:pt>
                <c:pt idx="24">
                  <c:v>35.200000000000003</c:v>
                </c:pt>
                <c:pt idx="25">
                  <c:v>23.7</c:v>
                </c:pt>
                <c:pt idx="26">
                  <c:v>55.8</c:v>
                </c:pt>
                <c:pt idx="27">
                  <c:v>56.2</c:v>
                </c:pt>
                <c:pt idx="28">
                  <c:v>29.3</c:v>
                </c:pt>
                <c:pt idx="29">
                  <c:v>32.299999999999997</c:v>
                </c:pt>
                <c:pt idx="30">
                  <c:v>47.3</c:v>
                </c:pt>
                <c:pt idx="31">
                  <c:v>30</c:v>
                </c:pt>
                <c:pt idx="32">
                  <c:v>30.3</c:v>
                </c:pt>
                <c:pt idx="33">
                  <c:v>40.299999999999997</c:v>
                </c:pt>
                <c:pt idx="34">
                  <c:v>30</c:v>
                </c:pt>
                <c:pt idx="35">
                  <c:v>58.7</c:v>
                </c:pt>
                <c:pt idx="36">
                  <c:v>39.4</c:v>
                </c:pt>
                <c:pt idx="37">
                  <c:v>56.5</c:v>
                </c:pt>
                <c:pt idx="38">
                  <c:v>50.9</c:v>
                </c:pt>
                <c:pt idx="39">
                  <c:v>49.5</c:v>
                </c:pt>
                <c:pt idx="40">
                  <c:v>73.8</c:v>
                </c:pt>
                <c:pt idx="41">
                  <c:v>68.400000000000006</c:v>
                </c:pt>
                <c:pt idx="42">
                  <c:v>38.6</c:v>
                </c:pt>
                <c:pt idx="43">
                  <c:v>32.6</c:v>
                </c:pt>
                <c:pt idx="44">
                  <c:v>40.4</c:v>
                </c:pt>
                <c:pt idx="45">
                  <c:v>40.4</c:v>
                </c:pt>
                <c:pt idx="46">
                  <c:v>48.4</c:v>
                </c:pt>
                <c:pt idx="47">
                  <c:v>21.2</c:v>
                </c:pt>
                <c:pt idx="48">
                  <c:v>22.9</c:v>
                </c:pt>
                <c:pt idx="49">
                  <c:v>30.3</c:v>
                </c:pt>
                <c:pt idx="50">
                  <c:v>57.5</c:v>
                </c:pt>
                <c:pt idx="51">
                  <c:v>28.4</c:v>
                </c:pt>
                <c:pt idx="52">
                  <c:v>24.1</c:v>
                </c:pt>
                <c:pt idx="53">
                  <c:v>21.6</c:v>
                </c:pt>
                <c:pt idx="54">
                  <c:v>42.1</c:v>
                </c:pt>
              </c:numCache>
            </c:numRef>
          </c:xVal>
          <c:yVal>
            <c:numRef>
              <c:f>i_scatter!$C$39:$BE$39</c:f>
              <c:numCache>
                <c:formatCode>General</c:formatCode>
                <c:ptCount val="55"/>
                <c:pt idx="0">
                  <c:v>1.2815557184120232</c:v>
                </c:pt>
                <c:pt idx="1">
                  <c:v>#N/A</c:v>
                </c:pt>
                <c:pt idx="2">
                  <c:v>#N/A</c:v>
                </c:pt>
                <c:pt idx="3">
                  <c:v>#N/A</c:v>
                </c:pt>
                <c:pt idx="4">
                  <c:v>44.625449447924396</c:v>
                </c:pt>
                <c:pt idx="5">
                  <c:v>#N/A</c:v>
                </c:pt>
                <c:pt idx="6">
                  <c:v>2.8750621210881939</c:v>
                </c:pt>
                <c:pt idx="7">
                  <c:v>#N/A</c:v>
                </c:pt>
                <c:pt idx="8">
                  <c:v>#N/A</c:v>
                </c:pt>
                <c:pt idx="9">
                  <c:v>13.88282130419311</c:v>
                </c:pt>
                <c:pt idx="10">
                  <c:v>#N/A</c:v>
                </c:pt>
                <c:pt idx="11">
                  <c:v>11.591768668724008</c:v>
                </c:pt>
                <c:pt idx="12">
                  <c:v>15.8781491337601</c:v>
                </c:pt>
                <c:pt idx="13">
                  <c:v>15.573619738159342</c:v>
                </c:pt>
                <c:pt idx="14">
                  <c:v>#N/A</c:v>
                </c:pt>
                <c:pt idx="15">
                  <c:v>47.48838045137019</c:v>
                </c:pt>
                <c:pt idx="16">
                  <c:v>35.793202436844965</c:v>
                </c:pt>
                <c:pt idx="17">
                  <c:v>#N/A</c:v>
                </c:pt>
                <c:pt idx="18">
                  <c:v>#N/A</c:v>
                </c:pt>
                <c:pt idx="19">
                  <c:v>#N/A</c:v>
                </c:pt>
                <c:pt idx="20">
                  <c:v>21.012528724627639</c:v>
                </c:pt>
                <c:pt idx="21">
                  <c:v>#N/A</c:v>
                </c:pt>
                <c:pt idx="22">
                  <c:v>17.811886880880195</c:v>
                </c:pt>
                <c:pt idx="23">
                  <c:v>#N/A</c:v>
                </c:pt>
                <c:pt idx="24">
                  <c:v>#N/A</c:v>
                </c:pt>
                <c:pt idx="25">
                  <c:v>#N/A</c:v>
                </c:pt>
                <c:pt idx="26">
                  <c:v>#N/A</c:v>
                </c:pt>
                <c:pt idx="27">
                  <c:v>#N/A</c:v>
                </c:pt>
                <c:pt idx="28">
                  <c:v>#N/A</c:v>
                </c:pt>
                <c:pt idx="29">
                  <c:v>#N/A</c:v>
                </c:pt>
                <c:pt idx="30">
                  <c:v>17.446465245547422</c:v>
                </c:pt>
                <c:pt idx="31">
                  <c:v>#N/A</c:v>
                </c:pt>
                <c:pt idx="32">
                  <c:v>#N/A</c:v>
                </c:pt>
                <c:pt idx="33">
                  <c:v>#N/A</c:v>
                </c:pt>
                <c:pt idx="34">
                  <c:v>#N/A</c:v>
                </c:pt>
                <c:pt idx="35">
                  <c:v>58.715065084093169</c:v>
                </c:pt>
                <c:pt idx="36">
                  <c:v>#N/A</c:v>
                </c:pt>
                <c:pt idx="37">
                  <c:v>#N/A</c:v>
                </c:pt>
                <c:pt idx="38">
                  <c:v>4.9016220366637873</c:v>
                </c:pt>
                <c:pt idx="39">
                  <c:v>17.788631651236457</c:v>
                </c:pt>
                <c:pt idx="40">
                  <c:v>31.25358565943796</c:v>
                </c:pt>
                <c:pt idx="41">
                  <c:v>#N/A</c:v>
                </c:pt>
                <c:pt idx="42">
                  <c:v>#N/A</c:v>
                </c:pt>
                <c:pt idx="43">
                  <c:v>#N/A</c:v>
                </c:pt>
                <c:pt idx="44">
                  <c:v>#N/A</c:v>
                </c:pt>
                <c:pt idx="45">
                  <c:v>#N/A</c:v>
                </c:pt>
                <c:pt idx="46">
                  <c:v>#N/A</c:v>
                </c:pt>
                <c:pt idx="47">
                  <c:v>#N/A</c:v>
                </c:pt>
                <c:pt idx="48">
                  <c:v>#N/A</c:v>
                </c:pt>
                <c:pt idx="49">
                  <c:v>#N/A</c:v>
                </c:pt>
                <c:pt idx="50">
                  <c:v>#N/A</c:v>
                </c:pt>
                <c:pt idx="51">
                  <c:v>2.5682215463084912</c:v>
                </c:pt>
                <c:pt idx="52">
                  <c:v>1.3584964058778015</c:v>
                </c:pt>
                <c:pt idx="53">
                  <c:v>#N/A</c:v>
                </c:pt>
                <c:pt idx="54">
                  <c:v>#N/A</c:v>
                </c:pt>
              </c:numCache>
            </c:numRef>
          </c:yVal>
        </c:ser>
        <c:ser>
          <c:idx val="4"/>
          <c:order val="4"/>
          <c:tx>
            <c:strRef>
              <c:f>i_scatter!$C$41</c:f>
              <c:strCache>
                <c:ptCount val="1"/>
                <c:pt idx="0">
                  <c:v>&lt;none&gt;</c:v>
                </c:pt>
              </c:strCache>
            </c:strRef>
          </c:tx>
          <c:spPr>
            <a:ln w="28575">
              <a:noFill/>
            </a:ln>
          </c:spPr>
          <c:marker>
            <c:symbol val="circle"/>
            <c:size val="7"/>
            <c:spPr>
              <a:solidFill>
                <a:srgbClr val="FF0000"/>
              </a:solidFill>
              <a:ln>
                <a:noFill/>
              </a:ln>
            </c:spPr>
          </c:marker>
          <c:dLbls>
            <c:dLbl>
              <c:idx val="0"/>
              <c:spPr>
                <a:noFill/>
                <a:ln w="25400">
                  <a:noFill/>
                </a:ln>
              </c:spPr>
              <c:txPr>
                <a:bodyPr/>
                <a:lstStyle/>
                <a:p>
                  <a:pPr>
                    <a:defRPr sz="1000" b="0" i="0" u="none" strike="noStrike" baseline="0">
                      <a:solidFill>
                        <a:srgbClr val="FF0000"/>
                      </a:solidFill>
                      <a:latin typeface="Calibri"/>
                      <a:ea typeface="Calibri"/>
                      <a:cs typeface="Calibri"/>
                    </a:defRPr>
                  </a:pPr>
                  <a:endParaRPr lang="en-US"/>
                </a:p>
              </c:txPr>
              <c:showSerName val="1"/>
            </c:dLbl>
            <c:delete val="1"/>
          </c:dLbls>
          <c:xVal>
            <c:numRef>
              <c:f>i_scatter!$C$42</c:f>
              <c:numCache>
                <c:formatCode>General</c:formatCode>
                <c:ptCount val="1"/>
                <c:pt idx="0">
                  <c:v>#N/A</c:v>
                </c:pt>
              </c:numCache>
            </c:numRef>
          </c:xVal>
          <c:yVal>
            <c:numRef>
              <c:f>i_scatter!$C$43</c:f>
              <c:numCache>
                <c:formatCode>General</c:formatCode>
                <c:ptCount val="1"/>
                <c:pt idx="0">
                  <c:v>#N/A</c:v>
                </c:pt>
              </c:numCache>
            </c:numRef>
          </c:yVal>
        </c:ser>
        <c:ser>
          <c:idx val="5"/>
          <c:order val="5"/>
          <c:tx>
            <c:strRef>
              <c:f>i_scatter!$C$48</c:f>
              <c:strCache>
                <c:ptCount val="1"/>
              </c:strCache>
            </c:strRef>
          </c:tx>
          <c:spPr>
            <a:ln w="28575">
              <a:noFill/>
            </a:ln>
          </c:spPr>
          <c:marker>
            <c:symbol val="circle"/>
            <c:size val="7"/>
            <c:spPr>
              <a:solidFill>
                <a:srgbClr val="00B0F0"/>
              </a:solidFill>
              <a:ln>
                <a:noFill/>
              </a:ln>
            </c:spPr>
          </c:marke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SerName val="1"/>
          </c:dLbls>
          <c:xVal>
            <c:numRef>
              <c:f>i_scatter!$C$49</c:f>
              <c:numCache>
                <c:formatCode>General</c:formatCode>
                <c:ptCount val="1"/>
                <c:pt idx="0">
                  <c:v>#N/A</c:v>
                </c:pt>
              </c:numCache>
            </c:numRef>
          </c:xVal>
          <c:yVal>
            <c:numRef>
              <c:f>i_scatter!$C$50</c:f>
              <c:numCache>
                <c:formatCode>General</c:formatCode>
                <c:ptCount val="1"/>
                <c:pt idx="0">
                  <c:v>#N/A</c:v>
                </c:pt>
              </c:numCache>
            </c:numRef>
          </c:yVal>
        </c:ser>
        <c:ser>
          <c:idx val="6"/>
          <c:order val="6"/>
          <c:tx>
            <c:strRef>
              <c:f>i_scatter!$D$48</c:f>
              <c:strCache>
                <c:ptCount val="1"/>
              </c:strCache>
            </c:strRef>
          </c:tx>
          <c:spPr>
            <a:ln w="28575">
              <a:noFill/>
            </a:ln>
          </c:spPr>
          <c:marker>
            <c:symbol val="circle"/>
            <c:size val="7"/>
            <c:spPr>
              <a:solidFill>
                <a:srgbClr val="00B0F0"/>
              </a:solidFill>
              <a:ln>
                <a:noFill/>
              </a:ln>
            </c:spPr>
          </c:marker>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SerName val="1"/>
          </c:dLbls>
          <c:xVal>
            <c:numRef>
              <c:f>i_scatter!$D$49</c:f>
              <c:numCache>
                <c:formatCode>General</c:formatCode>
                <c:ptCount val="1"/>
                <c:pt idx="0">
                  <c:v>#N/A</c:v>
                </c:pt>
              </c:numCache>
            </c:numRef>
          </c:xVal>
          <c:yVal>
            <c:numRef>
              <c:f>i_scatter!$D$50</c:f>
              <c:numCache>
                <c:formatCode>General</c:formatCode>
                <c:ptCount val="1"/>
                <c:pt idx="0">
                  <c:v>#N/A</c:v>
                </c:pt>
              </c:numCache>
            </c:numRef>
          </c:yVal>
        </c:ser>
        <c:axId val="113527424"/>
        <c:axId val="113550080"/>
      </c:scatterChart>
      <c:valAx>
        <c:axId val="113527424"/>
        <c:scaling>
          <c:orientation val="minMax"/>
        </c:scaling>
        <c:axPos val="b"/>
        <c:majorGridlines>
          <c:spPr>
            <a:ln>
              <a:solidFill>
                <a:sysClr val="window" lastClr="FFFFFF">
                  <a:lumMod val="75000"/>
                </a:sysClr>
              </a:solidFill>
              <a:prstDash val="dash"/>
            </a:ln>
          </c:spPr>
        </c:majorGridlines>
        <c:title>
          <c:tx>
            <c:strRef>
              <c:f>i_scatter!$B$8</c:f>
              <c:strCache>
                <c:ptCount val="1"/>
                <c:pt idx="0">
                  <c:v>Overall score (Normalised score 0-100, 100=best)</c:v>
                </c:pt>
              </c:strCache>
            </c:strRef>
          </c:tx>
          <c:spPr>
            <a:noFill/>
            <a:ln w="25400">
              <a:noFill/>
            </a:ln>
          </c:spPr>
          <c:txPr>
            <a:bodyPr/>
            <a:lstStyle/>
            <a:p>
              <a:pPr>
                <a:defRPr sz="1000" b="0" i="0" u="none" strike="noStrike" baseline="0">
                  <a:solidFill>
                    <a:srgbClr val="000000"/>
                  </a:solidFill>
                  <a:latin typeface="Calibri"/>
                  <a:ea typeface="Calibri"/>
                  <a:cs typeface="Calibri"/>
                </a:defRPr>
              </a:pPr>
              <a:endParaRPr lang="en-US"/>
            </a:p>
          </c:txPr>
        </c:title>
        <c:numFmt formatCode="General" sourceLinked="1"/>
        <c:maj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13550080"/>
        <c:crosses val="autoZero"/>
        <c:crossBetween val="midCat"/>
      </c:valAx>
      <c:valAx>
        <c:axId val="113550080"/>
        <c:scaling>
          <c:orientation val="minMax"/>
        </c:scaling>
        <c:axPos val="l"/>
        <c:majorGridlines>
          <c:spPr>
            <a:ln>
              <a:solidFill>
                <a:schemeClr val="bg1">
                  <a:lumMod val="75000"/>
                </a:schemeClr>
              </a:solidFill>
              <a:prstDash val="dash"/>
            </a:ln>
          </c:spPr>
        </c:majorGridlines>
        <c:title>
          <c:tx>
            <c:strRef>
              <c:f>i_scatter!$B$9</c:f>
              <c:strCache>
                <c:ptCount val="1"/>
                <c:pt idx="0">
                  <c:v>MFI clients as % of microenterprises (% of microenterprises)</c:v>
                </c:pt>
              </c:strCache>
            </c:strRef>
          </c:tx>
          <c:layout>
            <c:manualLayout>
              <c:xMode val="edge"/>
              <c:yMode val="edge"/>
              <c:x val="1.7725258493353029E-2"/>
              <c:y val="0.18241758241758241"/>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title>
        <c:numFmt formatCode="General" sourceLinked="1"/>
        <c:maj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13527424"/>
        <c:crosses val="autoZero"/>
        <c:crossBetween val="midCat"/>
      </c:valAx>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50" b="0" i="0" u="none" strike="noStrike" baseline="0">
                <a:solidFill>
                  <a:srgbClr val="000000"/>
                </a:solidFill>
                <a:latin typeface="Calibri"/>
                <a:ea typeface="Calibri"/>
                <a:cs typeface="Calibri"/>
              </a:defRPr>
            </a:pPr>
            <a:r>
              <a:t>Overall score</a:t>
            </a:r>
          </a:p>
        </c:rich>
      </c:tx>
      <c:spPr>
        <a:noFill/>
        <a:ln w="25400">
          <a:noFill/>
        </a:ln>
      </c:spPr>
    </c:title>
    <c:plotArea>
      <c:layout/>
      <c:barChart>
        <c:barDir val="bar"/>
        <c:grouping val="clustered"/>
        <c:ser>
          <c:idx val="0"/>
          <c:order val="0"/>
          <c:dLbls>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showVal val="1"/>
          </c:dLbls>
          <c:cat>
            <c:strRef>
              <c:f>i_rank_i!$AL$7:$AL$61</c:f>
              <c:strCache>
                <c:ptCount val="55"/>
                <c:pt idx="0">
                  <c:v>Peru</c:v>
                </c:pt>
                <c:pt idx="1">
                  <c:v>Bolivia</c:v>
                </c:pt>
                <c:pt idx="2">
                  <c:v>Philippines</c:v>
                </c:pt>
                <c:pt idx="3">
                  <c:v>India</c:v>
                </c:pt>
                <c:pt idx="4">
                  <c:v>Ghana</c:v>
                </c:pt>
                <c:pt idx="5">
                  <c:v>Ecuador</c:v>
                </c:pt>
                <c:pt idx="6">
                  <c:v>Nicaragua</c:v>
                </c:pt>
                <c:pt idx="7">
                  <c:v>Colombia</c:v>
                </c:pt>
                <c:pt idx="8">
                  <c:v>El Salvador</c:v>
                </c:pt>
                <c:pt idx="9">
                  <c:v>Uganda</c:v>
                </c:pt>
                <c:pt idx="10">
                  <c:v>Pakistan</c:v>
                </c:pt>
                <c:pt idx="11">
                  <c:v>Kyrgyzstan</c:v>
                </c:pt>
                <c:pt idx="12">
                  <c:v>Kenya</c:v>
                </c:pt>
                <c:pt idx="13">
                  <c:v>Cambodia</c:v>
                </c:pt>
                <c:pt idx="14">
                  <c:v>Guatemala</c:v>
                </c:pt>
                <c:pt idx="15">
                  <c:v>Panama</c:v>
                </c:pt>
                <c:pt idx="16">
                  <c:v>Paraguay</c:v>
                </c:pt>
                <c:pt idx="17">
                  <c:v>Honduras</c:v>
                </c:pt>
                <c:pt idx="18">
                  <c:v>Tanzania</c:v>
                </c:pt>
                <c:pt idx="19">
                  <c:v>Chile</c:v>
                </c:pt>
                <c:pt idx="20">
                  <c:v>Mexico</c:v>
                </c:pt>
                <c:pt idx="21">
                  <c:v>Dominican Republic</c:v>
                </c:pt>
                <c:pt idx="22">
                  <c:v>Georgia</c:v>
                </c:pt>
                <c:pt idx="23">
                  <c:v>Brazil</c:v>
                </c:pt>
                <c:pt idx="24">
                  <c:v>Armenia</c:v>
                </c:pt>
                <c:pt idx="25">
                  <c:v>Bosnia</c:v>
                </c:pt>
                <c:pt idx="26">
                  <c:v>Bangladesh</c:v>
                </c:pt>
                <c:pt idx="27">
                  <c:v>Costa Rica</c:v>
                </c:pt>
                <c:pt idx="28">
                  <c:v>Yemen</c:v>
                </c:pt>
                <c:pt idx="29">
                  <c:v>Sri Lanka</c:v>
                </c:pt>
                <c:pt idx="30">
                  <c:v>Tajikistan</c:v>
                </c:pt>
                <c:pt idx="31">
                  <c:v>Mozambique</c:v>
                </c:pt>
                <c:pt idx="32">
                  <c:v>Nigeria</c:v>
                </c:pt>
                <c:pt idx="33">
                  <c:v>Rwanda</c:v>
                </c:pt>
                <c:pt idx="34">
                  <c:v>DRC</c:v>
                </c:pt>
                <c:pt idx="35">
                  <c:v>Indonesia</c:v>
                </c:pt>
                <c:pt idx="36">
                  <c:v>China</c:v>
                </c:pt>
                <c:pt idx="37">
                  <c:v>Haiti</c:v>
                </c:pt>
                <c:pt idx="38">
                  <c:v>Senegal</c:v>
                </c:pt>
                <c:pt idx="39">
                  <c:v>Madagascar</c:v>
                </c:pt>
                <c:pt idx="40">
                  <c:v>Cameroon</c:v>
                </c:pt>
                <c:pt idx="41">
                  <c:v>Ethiopia</c:v>
                </c:pt>
                <c:pt idx="42">
                  <c:v>Argentina</c:v>
                </c:pt>
                <c:pt idx="43">
                  <c:v>Morocco</c:v>
                </c:pt>
                <c:pt idx="44">
                  <c:v>Turkey</c:v>
                </c:pt>
                <c:pt idx="45">
                  <c:v>Mongolia</c:v>
                </c:pt>
                <c:pt idx="46">
                  <c:v>Nepal</c:v>
                </c:pt>
                <c:pt idx="47">
                  <c:v>Lebanon</c:v>
                </c:pt>
                <c:pt idx="48">
                  <c:v>Azerbaijan</c:v>
                </c:pt>
                <c:pt idx="49">
                  <c:v>Uruguay</c:v>
                </c:pt>
                <c:pt idx="50">
                  <c:v>Venezuela</c:v>
                </c:pt>
                <c:pt idx="51">
                  <c:v>Jamaica</c:v>
                </c:pt>
                <c:pt idx="52">
                  <c:v>Trinidad and Tobago</c:v>
                </c:pt>
                <c:pt idx="53">
                  <c:v>Vietnam</c:v>
                </c:pt>
                <c:pt idx="54">
                  <c:v>Thailand</c:v>
                </c:pt>
              </c:strCache>
            </c:strRef>
          </c:cat>
          <c:val>
            <c:numRef>
              <c:f>i_rank_i!$AM$7:$AM$61</c:f>
              <c:numCache>
                <c:formatCode>0.00</c:formatCode>
                <c:ptCount val="55"/>
                <c:pt idx="0">
                  <c:v>73.8</c:v>
                </c:pt>
                <c:pt idx="1">
                  <c:v>71.7</c:v>
                </c:pt>
                <c:pt idx="2">
                  <c:v>68.400000000000006</c:v>
                </c:pt>
                <c:pt idx="3">
                  <c:v>62.1</c:v>
                </c:pt>
                <c:pt idx="4">
                  <c:v>60.9</c:v>
                </c:pt>
                <c:pt idx="5">
                  <c:v>59.7</c:v>
                </c:pt>
                <c:pt idx="6">
                  <c:v>58.7</c:v>
                </c:pt>
                <c:pt idx="7">
                  <c:v>58.6</c:v>
                </c:pt>
                <c:pt idx="8">
                  <c:v>57.5</c:v>
                </c:pt>
                <c:pt idx="9">
                  <c:v>57.5</c:v>
                </c:pt>
                <c:pt idx="10">
                  <c:v>56.5</c:v>
                </c:pt>
                <c:pt idx="11">
                  <c:v>56.2</c:v>
                </c:pt>
                <c:pt idx="12">
                  <c:v>55.8</c:v>
                </c:pt>
                <c:pt idx="13">
                  <c:v>54.1</c:v>
                </c:pt>
                <c:pt idx="14">
                  <c:v>51.8</c:v>
                </c:pt>
                <c:pt idx="15">
                  <c:v>50.9</c:v>
                </c:pt>
                <c:pt idx="16">
                  <c:v>49.5</c:v>
                </c:pt>
                <c:pt idx="17">
                  <c:v>49.3</c:v>
                </c:pt>
                <c:pt idx="18">
                  <c:v>48.4</c:v>
                </c:pt>
                <c:pt idx="19">
                  <c:v>48</c:v>
                </c:pt>
                <c:pt idx="20">
                  <c:v>47.3</c:v>
                </c:pt>
                <c:pt idx="21">
                  <c:v>47</c:v>
                </c:pt>
                <c:pt idx="22">
                  <c:v>45.1</c:v>
                </c:pt>
                <c:pt idx="23">
                  <c:v>44</c:v>
                </c:pt>
                <c:pt idx="24">
                  <c:v>43.9</c:v>
                </c:pt>
                <c:pt idx="25">
                  <c:v>43.1</c:v>
                </c:pt>
                <c:pt idx="26">
                  <c:v>42.7</c:v>
                </c:pt>
                <c:pt idx="27">
                  <c:v>42.5</c:v>
                </c:pt>
                <c:pt idx="28">
                  <c:v>42.1</c:v>
                </c:pt>
                <c:pt idx="29">
                  <c:v>40.4</c:v>
                </c:pt>
                <c:pt idx="30">
                  <c:v>40.4</c:v>
                </c:pt>
                <c:pt idx="31">
                  <c:v>40.299999999999997</c:v>
                </c:pt>
                <c:pt idx="32">
                  <c:v>39.4</c:v>
                </c:pt>
                <c:pt idx="33">
                  <c:v>38.6</c:v>
                </c:pt>
                <c:pt idx="34">
                  <c:v>36.799999999999997</c:v>
                </c:pt>
                <c:pt idx="35">
                  <c:v>35.200000000000003</c:v>
                </c:pt>
                <c:pt idx="36">
                  <c:v>34.1</c:v>
                </c:pt>
                <c:pt idx="37">
                  <c:v>33.4</c:v>
                </c:pt>
                <c:pt idx="38">
                  <c:v>32.6</c:v>
                </c:pt>
                <c:pt idx="39">
                  <c:v>32.299999999999997</c:v>
                </c:pt>
                <c:pt idx="40">
                  <c:v>31.6</c:v>
                </c:pt>
                <c:pt idx="41">
                  <c:v>31.3</c:v>
                </c:pt>
                <c:pt idx="42">
                  <c:v>30.8</c:v>
                </c:pt>
                <c:pt idx="43">
                  <c:v>30.3</c:v>
                </c:pt>
                <c:pt idx="44">
                  <c:v>30.3</c:v>
                </c:pt>
                <c:pt idx="45">
                  <c:v>30</c:v>
                </c:pt>
                <c:pt idx="46">
                  <c:v>30</c:v>
                </c:pt>
                <c:pt idx="47">
                  <c:v>29.3</c:v>
                </c:pt>
                <c:pt idx="48">
                  <c:v>29</c:v>
                </c:pt>
                <c:pt idx="49">
                  <c:v>28.4</c:v>
                </c:pt>
                <c:pt idx="50">
                  <c:v>24.1</c:v>
                </c:pt>
                <c:pt idx="51">
                  <c:v>23.7</c:v>
                </c:pt>
                <c:pt idx="52">
                  <c:v>22.9</c:v>
                </c:pt>
                <c:pt idx="53">
                  <c:v>21.6</c:v>
                </c:pt>
                <c:pt idx="54">
                  <c:v>21.2</c:v>
                </c:pt>
              </c:numCache>
            </c:numRef>
          </c:val>
        </c:ser>
        <c:axId val="119406592"/>
        <c:axId val="119408128"/>
      </c:barChart>
      <c:catAx>
        <c:axId val="119406592"/>
        <c:scaling>
          <c:orientation val="maxMin"/>
        </c:scaling>
        <c:axPos val="l"/>
        <c:numFmt formatCode="General" sourceLinked="1"/>
        <c:majorTickMark val="none"/>
        <c:tickLblPos val="nextTo"/>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9408128"/>
        <c:crosses val="autoZero"/>
        <c:auto val="1"/>
        <c:lblAlgn val="ctr"/>
        <c:lblOffset val="100"/>
      </c:catAx>
      <c:valAx>
        <c:axId val="119408128"/>
        <c:scaling>
          <c:orientation val="minMax"/>
          <c:max val="100"/>
          <c:min val="0"/>
        </c:scaling>
        <c:axPos val="t"/>
        <c:majorGridlines>
          <c:spPr>
            <a:ln>
              <a:solidFill>
                <a:schemeClr val="bg1">
                  <a:lumMod val="95000"/>
                </a:schemeClr>
              </a:solidFill>
            </a:ln>
          </c:spPr>
        </c:majorGridlines>
        <c:numFmt formatCode="0" sourceLinked="0"/>
        <c:tickLblPos val="high"/>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9406592"/>
        <c:crosses val="autoZero"/>
        <c:crossBetween val="between"/>
      </c:valAx>
    </c:plotArea>
    <c:plotVisOnly val="1"/>
    <c:dispBlanksAs val="gap"/>
  </c:chart>
  <c:spPr>
    <a:ln>
      <a:solidFill>
        <a:schemeClr val="bg1">
          <a:lumMod val="95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50" b="0" i="0" u="none" strike="noStrike" baseline="0">
                <a:solidFill>
                  <a:srgbClr val="000000"/>
                </a:solidFill>
                <a:latin typeface="Calibri"/>
                <a:ea typeface="Calibri"/>
                <a:cs typeface="Calibri"/>
              </a:defRPr>
            </a:pPr>
            <a:r>
              <a:t>Overall score</a:t>
            </a:r>
          </a:p>
        </c:rich>
      </c:tx>
      <c:spPr>
        <a:noFill/>
        <a:ln w="25400">
          <a:noFill/>
        </a:ln>
      </c:spPr>
    </c:title>
    <c:plotArea>
      <c:layout/>
      <c:barChart>
        <c:barDir val="bar"/>
        <c:grouping val="clustered"/>
        <c:ser>
          <c:idx val="0"/>
          <c:order val="0"/>
          <c:dLbls>
            <c:numFmt formatCode="#,##0.0" sourceLinked="0"/>
            <c:spPr>
              <a:noFill/>
              <a:ln w="25400">
                <a:noFill/>
              </a:ln>
            </c:spPr>
            <c:txPr>
              <a:bodyPr/>
              <a:lstStyle/>
              <a:p>
                <a:pPr>
                  <a:defRPr sz="800" b="0" i="0" u="none" strike="noStrike" baseline="0">
                    <a:solidFill>
                      <a:srgbClr val="000000"/>
                    </a:solidFill>
                    <a:latin typeface="Calibri"/>
                    <a:ea typeface="Calibri"/>
                    <a:cs typeface="Calibri"/>
                  </a:defRPr>
                </a:pPr>
                <a:endParaRPr lang="en-US"/>
              </a:p>
            </c:txPr>
            <c:showVal val="1"/>
          </c:dLbls>
          <c:cat>
            <c:strRef>
              <c:f>i_rank_i!$AL$7:$AL$61</c:f>
              <c:strCache>
                <c:ptCount val="55"/>
                <c:pt idx="0">
                  <c:v>Peru</c:v>
                </c:pt>
                <c:pt idx="1">
                  <c:v>Bolivia</c:v>
                </c:pt>
                <c:pt idx="2">
                  <c:v>Philippines</c:v>
                </c:pt>
                <c:pt idx="3">
                  <c:v>India</c:v>
                </c:pt>
                <c:pt idx="4">
                  <c:v>Ghana</c:v>
                </c:pt>
                <c:pt idx="5">
                  <c:v>Ecuador</c:v>
                </c:pt>
                <c:pt idx="6">
                  <c:v>Nicaragua</c:v>
                </c:pt>
                <c:pt idx="7">
                  <c:v>Colombia</c:v>
                </c:pt>
                <c:pt idx="8">
                  <c:v>El Salvador</c:v>
                </c:pt>
                <c:pt idx="9">
                  <c:v>Uganda</c:v>
                </c:pt>
                <c:pt idx="10">
                  <c:v>Pakistan</c:v>
                </c:pt>
                <c:pt idx="11">
                  <c:v>Kyrgyzstan</c:v>
                </c:pt>
                <c:pt idx="12">
                  <c:v>Kenya</c:v>
                </c:pt>
                <c:pt idx="13">
                  <c:v>Cambodia</c:v>
                </c:pt>
                <c:pt idx="14">
                  <c:v>Guatemala</c:v>
                </c:pt>
                <c:pt idx="15">
                  <c:v>Panama</c:v>
                </c:pt>
                <c:pt idx="16">
                  <c:v>Paraguay</c:v>
                </c:pt>
                <c:pt idx="17">
                  <c:v>Honduras</c:v>
                </c:pt>
                <c:pt idx="18">
                  <c:v>Tanzania</c:v>
                </c:pt>
                <c:pt idx="19">
                  <c:v>Chile</c:v>
                </c:pt>
                <c:pt idx="20">
                  <c:v>Mexico</c:v>
                </c:pt>
                <c:pt idx="21">
                  <c:v>Dominican Republic</c:v>
                </c:pt>
                <c:pt idx="22">
                  <c:v>Georgia</c:v>
                </c:pt>
                <c:pt idx="23">
                  <c:v>Brazil</c:v>
                </c:pt>
                <c:pt idx="24">
                  <c:v>Armenia</c:v>
                </c:pt>
                <c:pt idx="25">
                  <c:v>Bosnia</c:v>
                </c:pt>
                <c:pt idx="26">
                  <c:v>Bangladesh</c:v>
                </c:pt>
                <c:pt idx="27">
                  <c:v>Costa Rica</c:v>
                </c:pt>
                <c:pt idx="28">
                  <c:v>Yemen</c:v>
                </c:pt>
                <c:pt idx="29">
                  <c:v>Sri Lanka</c:v>
                </c:pt>
                <c:pt idx="30">
                  <c:v>Tajikistan</c:v>
                </c:pt>
                <c:pt idx="31">
                  <c:v>Mozambique</c:v>
                </c:pt>
                <c:pt idx="32">
                  <c:v>Nigeria</c:v>
                </c:pt>
                <c:pt idx="33">
                  <c:v>Rwanda</c:v>
                </c:pt>
                <c:pt idx="34">
                  <c:v>DRC</c:v>
                </c:pt>
                <c:pt idx="35">
                  <c:v>Indonesia</c:v>
                </c:pt>
                <c:pt idx="36">
                  <c:v>China</c:v>
                </c:pt>
                <c:pt idx="37">
                  <c:v>Haiti</c:v>
                </c:pt>
                <c:pt idx="38">
                  <c:v>Senegal</c:v>
                </c:pt>
                <c:pt idx="39">
                  <c:v>Madagascar</c:v>
                </c:pt>
                <c:pt idx="40">
                  <c:v>Cameroon</c:v>
                </c:pt>
                <c:pt idx="41">
                  <c:v>Ethiopia</c:v>
                </c:pt>
                <c:pt idx="42">
                  <c:v>Argentina</c:v>
                </c:pt>
                <c:pt idx="43">
                  <c:v>Morocco</c:v>
                </c:pt>
                <c:pt idx="44">
                  <c:v>Turkey</c:v>
                </c:pt>
                <c:pt idx="45">
                  <c:v>Mongolia</c:v>
                </c:pt>
                <c:pt idx="46">
                  <c:v>Nepal</c:v>
                </c:pt>
                <c:pt idx="47">
                  <c:v>Lebanon</c:v>
                </c:pt>
                <c:pt idx="48">
                  <c:v>Azerbaijan</c:v>
                </c:pt>
                <c:pt idx="49">
                  <c:v>Uruguay</c:v>
                </c:pt>
                <c:pt idx="50">
                  <c:v>Venezuela</c:v>
                </c:pt>
                <c:pt idx="51">
                  <c:v>Jamaica</c:v>
                </c:pt>
                <c:pt idx="52">
                  <c:v>Trinidad and Tobago</c:v>
                </c:pt>
                <c:pt idx="53">
                  <c:v>Vietnam</c:v>
                </c:pt>
                <c:pt idx="54">
                  <c:v>Thailand</c:v>
                </c:pt>
              </c:strCache>
            </c:strRef>
          </c:cat>
          <c:val>
            <c:numRef>
              <c:f>i_rank_i!$AM$7:$AM$61</c:f>
              <c:numCache>
                <c:formatCode>0.00</c:formatCode>
                <c:ptCount val="55"/>
                <c:pt idx="0">
                  <c:v>73.8</c:v>
                </c:pt>
                <c:pt idx="1">
                  <c:v>71.7</c:v>
                </c:pt>
                <c:pt idx="2">
                  <c:v>68.400000000000006</c:v>
                </c:pt>
                <c:pt idx="3">
                  <c:v>62.1</c:v>
                </c:pt>
                <c:pt idx="4">
                  <c:v>60.9</c:v>
                </c:pt>
                <c:pt idx="5">
                  <c:v>59.7</c:v>
                </c:pt>
                <c:pt idx="6">
                  <c:v>58.7</c:v>
                </c:pt>
                <c:pt idx="7">
                  <c:v>58.6</c:v>
                </c:pt>
                <c:pt idx="8">
                  <c:v>57.5</c:v>
                </c:pt>
                <c:pt idx="9">
                  <c:v>57.5</c:v>
                </c:pt>
                <c:pt idx="10">
                  <c:v>56.5</c:v>
                </c:pt>
                <c:pt idx="11">
                  <c:v>56.2</c:v>
                </c:pt>
                <c:pt idx="12">
                  <c:v>55.8</c:v>
                </c:pt>
                <c:pt idx="13">
                  <c:v>54.1</c:v>
                </c:pt>
                <c:pt idx="14">
                  <c:v>51.8</c:v>
                </c:pt>
                <c:pt idx="15">
                  <c:v>50.9</c:v>
                </c:pt>
                <c:pt idx="16">
                  <c:v>49.5</c:v>
                </c:pt>
                <c:pt idx="17">
                  <c:v>49.3</c:v>
                </c:pt>
                <c:pt idx="18">
                  <c:v>48.4</c:v>
                </c:pt>
                <c:pt idx="19">
                  <c:v>48</c:v>
                </c:pt>
                <c:pt idx="20">
                  <c:v>47.3</c:v>
                </c:pt>
                <c:pt idx="21">
                  <c:v>47</c:v>
                </c:pt>
                <c:pt idx="22">
                  <c:v>45.1</c:v>
                </c:pt>
                <c:pt idx="23">
                  <c:v>44</c:v>
                </c:pt>
                <c:pt idx="24">
                  <c:v>43.9</c:v>
                </c:pt>
                <c:pt idx="25">
                  <c:v>43.1</c:v>
                </c:pt>
                <c:pt idx="26">
                  <c:v>42.7</c:v>
                </c:pt>
                <c:pt idx="27">
                  <c:v>42.5</c:v>
                </c:pt>
                <c:pt idx="28">
                  <c:v>42.1</c:v>
                </c:pt>
                <c:pt idx="29">
                  <c:v>40.4</c:v>
                </c:pt>
                <c:pt idx="30">
                  <c:v>40.4</c:v>
                </c:pt>
                <c:pt idx="31">
                  <c:v>40.299999999999997</c:v>
                </c:pt>
                <c:pt idx="32">
                  <c:v>39.4</c:v>
                </c:pt>
                <c:pt idx="33">
                  <c:v>38.6</c:v>
                </c:pt>
                <c:pt idx="34">
                  <c:v>36.799999999999997</c:v>
                </c:pt>
                <c:pt idx="35">
                  <c:v>35.200000000000003</c:v>
                </c:pt>
                <c:pt idx="36">
                  <c:v>34.1</c:v>
                </c:pt>
                <c:pt idx="37">
                  <c:v>33.4</c:v>
                </c:pt>
                <c:pt idx="38">
                  <c:v>32.6</c:v>
                </c:pt>
                <c:pt idx="39">
                  <c:v>32.299999999999997</c:v>
                </c:pt>
                <c:pt idx="40">
                  <c:v>31.6</c:v>
                </c:pt>
                <c:pt idx="41">
                  <c:v>31.3</c:v>
                </c:pt>
                <c:pt idx="42">
                  <c:v>30.8</c:v>
                </c:pt>
                <c:pt idx="43">
                  <c:v>30.3</c:v>
                </c:pt>
                <c:pt idx="44">
                  <c:v>30.3</c:v>
                </c:pt>
                <c:pt idx="45">
                  <c:v>30</c:v>
                </c:pt>
                <c:pt idx="46">
                  <c:v>30</c:v>
                </c:pt>
                <c:pt idx="47">
                  <c:v>29.3</c:v>
                </c:pt>
                <c:pt idx="48">
                  <c:v>29</c:v>
                </c:pt>
                <c:pt idx="49">
                  <c:v>28.4</c:v>
                </c:pt>
                <c:pt idx="50">
                  <c:v>24.1</c:v>
                </c:pt>
                <c:pt idx="51">
                  <c:v>23.7</c:v>
                </c:pt>
                <c:pt idx="52">
                  <c:v>22.9</c:v>
                </c:pt>
                <c:pt idx="53">
                  <c:v>21.6</c:v>
                </c:pt>
                <c:pt idx="54">
                  <c:v>21.2</c:v>
                </c:pt>
              </c:numCache>
            </c:numRef>
          </c:val>
        </c:ser>
        <c:axId val="119444608"/>
        <c:axId val="119446144"/>
      </c:barChart>
      <c:catAx>
        <c:axId val="119444608"/>
        <c:scaling>
          <c:orientation val="maxMin"/>
        </c:scaling>
        <c:axPos val="l"/>
        <c:numFmt formatCode="General" sourceLinked="1"/>
        <c:majorTickMark val="none"/>
        <c:tickLblPos val="nextTo"/>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9446144"/>
        <c:crosses val="autoZero"/>
        <c:auto val="1"/>
        <c:lblAlgn val="ctr"/>
        <c:lblOffset val="100"/>
      </c:catAx>
      <c:valAx>
        <c:axId val="119446144"/>
        <c:scaling>
          <c:orientation val="minMax"/>
          <c:max val="100"/>
          <c:min val="0"/>
        </c:scaling>
        <c:axPos val="t"/>
        <c:majorGridlines>
          <c:spPr>
            <a:ln>
              <a:solidFill>
                <a:schemeClr val="bg1">
                  <a:lumMod val="95000"/>
                </a:schemeClr>
              </a:solidFill>
            </a:ln>
          </c:spPr>
        </c:majorGridlines>
        <c:numFmt formatCode="0" sourceLinked="0"/>
        <c:tickLblPos val="high"/>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9444608"/>
        <c:crosses val="autoZero"/>
        <c:crossBetween val="between"/>
      </c:valAx>
    </c:plotArea>
    <c:plotVisOnly val="1"/>
    <c:dispBlanksAs val="gap"/>
  </c:chart>
  <c:spPr>
    <a:ln>
      <a:solidFill>
        <a:schemeClr val="bg1">
          <a:lumMod val="95000"/>
        </a:schemeClr>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i_country!$D$6:$D$9</c:f>
              <c:strCache>
                <c:ptCount val="4"/>
                <c:pt idx="0">
                  <c:v>Overall score</c:v>
                </c:pt>
                <c:pt idx="1">
                  <c:v>Regulatory Framework </c:v>
                </c:pt>
                <c:pt idx="2">
                  <c:v>Investment Climate</c:v>
                </c:pt>
                <c:pt idx="3">
                  <c:v>Institutional Development</c:v>
                </c:pt>
              </c:strCache>
            </c:strRef>
          </c:cat>
          <c:val>
            <c:numRef>
              <c:f>i_country!$E$6:$E$9</c:f>
              <c:numCache>
                <c:formatCode>General</c:formatCode>
                <c:ptCount val="4"/>
                <c:pt idx="0">
                  <c:v>36.799999999999997</c:v>
                </c:pt>
                <c:pt idx="1">
                  <c:v>62.5</c:v>
                </c:pt>
                <c:pt idx="2">
                  <c:v>25.8</c:v>
                </c:pt>
                <c:pt idx="3">
                  <c:v>16.7</c:v>
                </c:pt>
              </c:numCache>
            </c:numRef>
          </c:val>
        </c:ser>
        <c:axId val="112319872"/>
        <c:axId val="119563392"/>
      </c:barChart>
      <c:catAx>
        <c:axId val="112319872"/>
        <c:scaling>
          <c:orientation val="maxMin"/>
        </c:scaling>
        <c:axPos val="l"/>
        <c:numFmt formatCode="General" sourceLinked="1"/>
        <c:maj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19563392"/>
        <c:crosses val="autoZero"/>
        <c:auto val="1"/>
        <c:lblAlgn val="ctr"/>
        <c:lblOffset val="100"/>
      </c:catAx>
      <c:valAx>
        <c:axId val="119563392"/>
        <c:scaling>
          <c:orientation val="minMax"/>
          <c:max val="100"/>
          <c:min val="0"/>
        </c:scaling>
        <c:axPos val="t"/>
        <c:majorGridlines>
          <c:spPr>
            <a:ln>
              <a:solidFill>
                <a:schemeClr val="bg1">
                  <a:lumMod val="85000"/>
                </a:schemeClr>
              </a:solidFill>
            </a:ln>
          </c:spPr>
        </c:majorGridlines>
        <c:numFmt formatCode="#,##0" sourceLinked="0"/>
        <c:majorTickMark val="none"/>
        <c:tickLblPos val="high"/>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2319872"/>
        <c:crosses val="autoZero"/>
        <c:crossBetween val="between"/>
      </c:valAx>
      <c:spPr>
        <a:ln>
          <a:no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Val val="1"/>
          </c:dLbls>
          <c:cat>
            <c:strRef>
              <c:f>i_country!$D$6:$D$9</c:f>
              <c:strCache>
                <c:ptCount val="4"/>
                <c:pt idx="0">
                  <c:v>Overall score</c:v>
                </c:pt>
                <c:pt idx="1">
                  <c:v>Regulatory Framework </c:v>
                </c:pt>
                <c:pt idx="2">
                  <c:v>Investment Climate</c:v>
                </c:pt>
                <c:pt idx="3">
                  <c:v>Institutional Development</c:v>
                </c:pt>
              </c:strCache>
            </c:strRef>
          </c:cat>
          <c:val>
            <c:numRef>
              <c:f>i_country!$E$6:$E$9</c:f>
              <c:numCache>
                <c:formatCode>General</c:formatCode>
                <c:ptCount val="4"/>
                <c:pt idx="0">
                  <c:v>36.799999999999997</c:v>
                </c:pt>
                <c:pt idx="1">
                  <c:v>62.5</c:v>
                </c:pt>
                <c:pt idx="2">
                  <c:v>25.8</c:v>
                </c:pt>
                <c:pt idx="3">
                  <c:v>16.7</c:v>
                </c:pt>
              </c:numCache>
            </c:numRef>
          </c:val>
        </c:ser>
        <c:axId val="112333184"/>
        <c:axId val="112334720"/>
      </c:barChart>
      <c:catAx>
        <c:axId val="112333184"/>
        <c:scaling>
          <c:orientation val="maxMin"/>
        </c:scaling>
        <c:axPos val="l"/>
        <c:numFmt formatCode="General" sourceLinked="1"/>
        <c:maj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12334720"/>
        <c:crosses val="autoZero"/>
        <c:auto val="1"/>
        <c:lblAlgn val="ctr"/>
        <c:lblOffset val="100"/>
      </c:catAx>
      <c:valAx>
        <c:axId val="112334720"/>
        <c:scaling>
          <c:orientation val="minMax"/>
          <c:max val="100"/>
          <c:min val="0"/>
        </c:scaling>
        <c:axPos val="t"/>
        <c:majorGridlines>
          <c:spPr>
            <a:ln>
              <a:solidFill>
                <a:schemeClr val="bg1">
                  <a:lumMod val="85000"/>
                </a:schemeClr>
              </a:solidFill>
            </a:ln>
          </c:spPr>
        </c:majorGridlines>
        <c:numFmt formatCode="#,##0" sourceLinked="0"/>
        <c:majorTickMark val="none"/>
        <c:tickLblPos val="high"/>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2333184"/>
        <c:crosses val="autoZero"/>
        <c:crossBetween val="between"/>
      </c:valAx>
      <c:spPr>
        <a:ln>
          <a:no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i_country!$D$6:$D$9</c:f>
              <c:strCache>
                <c:ptCount val="4"/>
                <c:pt idx="0">
                  <c:v>Overall score</c:v>
                </c:pt>
                <c:pt idx="1">
                  <c:v>Regulatory Framework </c:v>
                </c:pt>
                <c:pt idx="2">
                  <c:v>Investment Climate</c:v>
                </c:pt>
                <c:pt idx="3">
                  <c:v>Institutional Development</c:v>
                </c:pt>
              </c:strCache>
            </c:strRef>
          </c:cat>
          <c:val>
            <c:numRef>
              <c:f>i_country!$E$6:$E$9</c:f>
              <c:numCache>
                <c:formatCode>General</c:formatCode>
                <c:ptCount val="4"/>
                <c:pt idx="0">
                  <c:v>36.799999999999997</c:v>
                </c:pt>
                <c:pt idx="1">
                  <c:v>62.5</c:v>
                </c:pt>
                <c:pt idx="2">
                  <c:v>25.8</c:v>
                </c:pt>
                <c:pt idx="3">
                  <c:v>16.7</c:v>
                </c:pt>
              </c:numCache>
            </c:numRef>
          </c:val>
        </c:ser>
        <c:axId val="112374912"/>
        <c:axId val="112376448"/>
      </c:barChart>
      <c:catAx>
        <c:axId val="112374912"/>
        <c:scaling>
          <c:orientation val="maxMin"/>
        </c:scaling>
        <c:axPos val="l"/>
        <c:numFmt formatCode="General" sourceLinked="1"/>
        <c:maj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12376448"/>
        <c:crosses val="autoZero"/>
        <c:auto val="1"/>
        <c:lblAlgn val="ctr"/>
        <c:lblOffset val="100"/>
      </c:catAx>
      <c:valAx>
        <c:axId val="112376448"/>
        <c:scaling>
          <c:orientation val="minMax"/>
          <c:max val="100"/>
          <c:min val="0"/>
        </c:scaling>
        <c:axPos val="t"/>
        <c:majorGridlines>
          <c:spPr>
            <a:ln>
              <a:solidFill>
                <a:schemeClr val="bg1">
                  <a:lumMod val="85000"/>
                </a:schemeClr>
              </a:solidFill>
            </a:ln>
          </c:spPr>
        </c:majorGridlines>
        <c:numFmt formatCode="#,##0" sourceLinked="0"/>
        <c:majorTickMark val="none"/>
        <c:tickLblPos val="high"/>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12374912"/>
        <c:crosses val="autoZero"/>
        <c:crossBetween val="between"/>
      </c:valAx>
      <c:spPr>
        <a:ln>
          <a:no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i_country!$D$6:$D$9</c:f>
              <c:strCache>
                <c:ptCount val="4"/>
                <c:pt idx="0">
                  <c:v>Overall score</c:v>
                </c:pt>
                <c:pt idx="1">
                  <c:v>Regulatory Framework </c:v>
                </c:pt>
                <c:pt idx="2">
                  <c:v>Investment Climate</c:v>
                </c:pt>
                <c:pt idx="3">
                  <c:v>Institutional Development</c:v>
                </c:pt>
              </c:strCache>
            </c:strRef>
          </c:cat>
          <c:val>
            <c:numRef>
              <c:f>i_country!$E$6:$E$9</c:f>
              <c:numCache>
                <c:formatCode>General</c:formatCode>
                <c:ptCount val="4"/>
                <c:pt idx="0">
                  <c:v>36.799999999999997</c:v>
                </c:pt>
                <c:pt idx="1">
                  <c:v>62.5</c:v>
                </c:pt>
                <c:pt idx="2">
                  <c:v>25.8</c:v>
                </c:pt>
                <c:pt idx="3">
                  <c:v>16.7</c:v>
                </c:pt>
              </c:numCache>
            </c:numRef>
          </c:val>
        </c:ser>
        <c:axId val="112469504"/>
        <c:axId val="112471040"/>
      </c:barChart>
      <c:catAx>
        <c:axId val="112469504"/>
        <c:scaling>
          <c:orientation val="maxMin"/>
        </c:scaling>
        <c:axPos val="l"/>
        <c:numFmt formatCode="General" sourceLinked="1"/>
        <c:majorTickMark val="none"/>
        <c:tickLblPos val="nextTo"/>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12471040"/>
        <c:crosses val="autoZero"/>
        <c:auto val="1"/>
        <c:lblAlgn val="ctr"/>
        <c:lblOffset val="100"/>
      </c:catAx>
      <c:valAx>
        <c:axId val="112471040"/>
        <c:scaling>
          <c:orientation val="minMax"/>
          <c:max val="100"/>
          <c:min val="0"/>
        </c:scaling>
        <c:axPos val="t"/>
        <c:majorGridlines>
          <c:spPr>
            <a:ln>
              <a:solidFill>
                <a:schemeClr val="bg1">
                  <a:lumMod val="85000"/>
                </a:schemeClr>
              </a:solidFill>
            </a:ln>
          </c:spPr>
        </c:majorGridlines>
        <c:numFmt formatCode="#,##0" sourceLinked="0"/>
        <c:majorTickMark val="none"/>
        <c:tickLblPos val="high"/>
        <c:spPr>
          <a:ln>
            <a:noFill/>
          </a:ln>
        </c:spPr>
        <c:txPr>
          <a:bodyPr rot="0" vert="horz"/>
          <a:lstStyle/>
          <a:p>
            <a:pPr>
              <a:defRPr sz="1000" b="0" i="0" u="none" strike="noStrike" baseline="0">
                <a:solidFill>
                  <a:srgbClr val="000000"/>
                </a:solidFill>
                <a:latin typeface="Calibri"/>
                <a:ea typeface="Calibri"/>
                <a:cs typeface="Calibri"/>
              </a:defRPr>
            </a:pPr>
            <a:endParaRPr lang="en-US"/>
          </a:p>
        </c:txPr>
        <c:crossAx val="112469504"/>
        <c:crosses val="autoZero"/>
        <c:crossBetween val="between"/>
      </c:valAx>
      <c:spPr>
        <a:ln>
          <a:noFill/>
        </a:ln>
      </c:spPr>
    </c:plotArea>
    <c:plotVisOnly val="1"/>
    <c:dispBlanksAs val="gap"/>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i_country!$H$31:$H$34</c:f>
              <c:strCache>
                <c:ptCount val="4"/>
                <c:pt idx="0">
                  <c:v>Chile</c:v>
                </c:pt>
                <c:pt idx="1">
                  <c:v>Armenia</c:v>
                </c:pt>
                <c:pt idx="2">
                  <c:v>Bangladesh</c:v>
                </c:pt>
                <c:pt idx="3">
                  <c:v>DRC</c:v>
                </c:pt>
              </c:strCache>
            </c:strRef>
          </c:cat>
          <c:val>
            <c:numRef>
              <c:f>i_country!$I$31:$I$34</c:f>
              <c:numCache>
                <c:formatCode>General</c:formatCode>
                <c:ptCount val="4"/>
                <c:pt idx="0">
                  <c:v>48</c:v>
                </c:pt>
                <c:pt idx="1">
                  <c:v>43.9</c:v>
                </c:pt>
                <c:pt idx="2">
                  <c:v>42.7</c:v>
                </c:pt>
                <c:pt idx="3">
                  <c:v>36.799999999999997</c:v>
                </c:pt>
              </c:numCache>
            </c:numRef>
          </c:val>
        </c:ser>
        <c:axId val="104149760"/>
        <c:axId val="104151296"/>
      </c:barChart>
      <c:catAx>
        <c:axId val="104149760"/>
        <c:scaling>
          <c:orientation val="maxMin"/>
        </c:scaling>
        <c:axPos val="l"/>
        <c:numFmt formatCode="General" sourceLinked="1"/>
        <c:majorTickMark val="none"/>
        <c:tickLblPos val="nextTo"/>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04151296"/>
        <c:crosses val="autoZero"/>
        <c:auto val="1"/>
        <c:lblAlgn val="ctr"/>
        <c:lblOffset val="100"/>
      </c:catAx>
      <c:valAx>
        <c:axId val="104151296"/>
        <c:scaling>
          <c:orientation val="minMax"/>
          <c:max val="100"/>
          <c:min val="0"/>
        </c:scaling>
        <c:axPos val="t"/>
        <c:majorGridlines>
          <c:spPr>
            <a:ln>
              <a:solidFill>
                <a:schemeClr val="bg1">
                  <a:lumMod val="85000"/>
                </a:schemeClr>
              </a:solidFill>
            </a:ln>
          </c:spPr>
        </c:majorGridlines>
        <c:numFmt formatCode="#,##0" sourceLinked="0"/>
        <c:majorTickMark val="none"/>
        <c:tickLblPos val="high"/>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04149760"/>
        <c:crosses val="autoZero"/>
        <c:crossBetween val="between"/>
      </c:valAx>
      <c:spPr>
        <a:ln>
          <a:noFill/>
        </a:ln>
      </c:spPr>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i_country!$T$31:$T$34</c:f>
              <c:strCache>
                <c:ptCount val="4"/>
                <c:pt idx="0">
                  <c:v>Chile</c:v>
                </c:pt>
                <c:pt idx="1">
                  <c:v>Armenia</c:v>
                </c:pt>
                <c:pt idx="2">
                  <c:v>Bangladesh</c:v>
                </c:pt>
                <c:pt idx="3">
                  <c:v>DRC</c:v>
                </c:pt>
              </c:strCache>
            </c:strRef>
          </c:cat>
          <c:val>
            <c:numRef>
              <c:f>i_country!$U$31:$U$34</c:f>
              <c:numCache>
                <c:formatCode>General</c:formatCode>
                <c:ptCount val="4"/>
                <c:pt idx="0">
                  <c:v>73.3</c:v>
                </c:pt>
                <c:pt idx="1">
                  <c:v>53.1</c:v>
                </c:pt>
                <c:pt idx="2">
                  <c:v>42.5</c:v>
                </c:pt>
                <c:pt idx="3">
                  <c:v>25.8</c:v>
                </c:pt>
              </c:numCache>
            </c:numRef>
          </c:val>
        </c:ser>
        <c:axId val="104191104"/>
        <c:axId val="104192640"/>
      </c:barChart>
      <c:catAx>
        <c:axId val="104191104"/>
        <c:scaling>
          <c:orientation val="maxMin"/>
        </c:scaling>
        <c:axPos val="l"/>
        <c:numFmt formatCode="General" sourceLinked="1"/>
        <c:majorTickMark val="none"/>
        <c:tickLblPos val="nextTo"/>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04192640"/>
        <c:crosses val="autoZero"/>
        <c:auto val="1"/>
        <c:lblAlgn val="ctr"/>
        <c:lblOffset val="100"/>
      </c:catAx>
      <c:valAx>
        <c:axId val="104192640"/>
        <c:scaling>
          <c:orientation val="minMax"/>
          <c:max val="100"/>
          <c:min val="0"/>
        </c:scaling>
        <c:axPos val="t"/>
        <c:majorGridlines>
          <c:spPr>
            <a:ln>
              <a:solidFill>
                <a:schemeClr val="bg1">
                  <a:lumMod val="85000"/>
                </a:schemeClr>
              </a:solidFill>
            </a:ln>
          </c:spPr>
        </c:majorGridlines>
        <c:numFmt formatCode="#,##0" sourceLinked="0"/>
        <c:majorTickMark val="none"/>
        <c:tickLblPos val="high"/>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04191104"/>
        <c:crosses val="autoZero"/>
        <c:crossBetween val="between"/>
      </c:valAx>
      <c:spPr>
        <a:ln>
          <a:noFill/>
        </a:ln>
      </c:spPr>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i_country!$N$31:$N$34</c:f>
              <c:strCache>
                <c:ptCount val="4"/>
                <c:pt idx="0">
                  <c:v>DRC</c:v>
                </c:pt>
                <c:pt idx="1">
                  <c:v>Chile</c:v>
                </c:pt>
                <c:pt idx="2">
                  <c:v>Armenia</c:v>
                </c:pt>
                <c:pt idx="3">
                  <c:v>Bangladesh</c:v>
                </c:pt>
              </c:strCache>
            </c:strRef>
          </c:cat>
          <c:val>
            <c:numRef>
              <c:f>i_country!$O$31:$O$34</c:f>
              <c:numCache>
                <c:formatCode>General</c:formatCode>
                <c:ptCount val="4"/>
                <c:pt idx="0">
                  <c:v>62.5</c:v>
                </c:pt>
                <c:pt idx="1">
                  <c:v>50</c:v>
                </c:pt>
                <c:pt idx="2">
                  <c:v>50</c:v>
                </c:pt>
                <c:pt idx="3">
                  <c:v>43.8</c:v>
                </c:pt>
              </c:numCache>
            </c:numRef>
          </c:val>
        </c:ser>
        <c:axId val="104199680"/>
        <c:axId val="104201216"/>
      </c:barChart>
      <c:catAx>
        <c:axId val="104199680"/>
        <c:scaling>
          <c:orientation val="maxMin"/>
        </c:scaling>
        <c:axPos val="l"/>
        <c:numFmt formatCode="General" sourceLinked="1"/>
        <c:majorTickMark val="none"/>
        <c:tickLblPos val="nextTo"/>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04201216"/>
        <c:crosses val="autoZero"/>
        <c:auto val="1"/>
        <c:lblAlgn val="ctr"/>
        <c:lblOffset val="100"/>
      </c:catAx>
      <c:valAx>
        <c:axId val="104201216"/>
        <c:scaling>
          <c:orientation val="minMax"/>
          <c:max val="100"/>
          <c:min val="0"/>
        </c:scaling>
        <c:axPos val="t"/>
        <c:majorGridlines>
          <c:spPr>
            <a:ln>
              <a:solidFill>
                <a:schemeClr val="bg1">
                  <a:lumMod val="85000"/>
                </a:schemeClr>
              </a:solidFill>
            </a:ln>
          </c:spPr>
        </c:majorGridlines>
        <c:numFmt formatCode="#,##0" sourceLinked="0"/>
        <c:majorTickMark val="none"/>
        <c:tickLblPos val="high"/>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04199680"/>
        <c:crosses val="autoZero"/>
        <c:crossBetween val="between"/>
      </c:valAx>
      <c:spPr>
        <a:ln>
          <a:noFill/>
        </a:ln>
      </c:spPr>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i_country!$Z$31:$Z$34</c:f>
              <c:strCache>
                <c:ptCount val="4"/>
                <c:pt idx="0">
                  <c:v>Bangladesh</c:v>
                </c:pt>
                <c:pt idx="1">
                  <c:v>Chile</c:v>
                </c:pt>
                <c:pt idx="2">
                  <c:v>Armenia</c:v>
                </c:pt>
                <c:pt idx="3">
                  <c:v>DRC</c:v>
                </c:pt>
              </c:strCache>
            </c:strRef>
          </c:cat>
          <c:val>
            <c:numRef>
              <c:f>i_country!$AA$31:$AA$34</c:f>
              <c:numCache>
                <c:formatCode>General</c:formatCode>
                <c:ptCount val="4"/>
                <c:pt idx="0">
                  <c:v>41.7</c:v>
                </c:pt>
                <c:pt idx="1">
                  <c:v>33.299999999999997</c:v>
                </c:pt>
                <c:pt idx="2">
                  <c:v>33.299999999999997</c:v>
                </c:pt>
                <c:pt idx="3">
                  <c:v>16.7</c:v>
                </c:pt>
              </c:numCache>
            </c:numRef>
          </c:val>
        </c:ser>
        <c:axId val="112293760"/>
        <c:axId val="112295296"/>
      </c:barChart>
      <c:catAx>
        <c:axId val="112293760"/>
        <c:scaling>
          <c:orientation val="maxMin"/>
        </c:scaling>
        <c:axPos val="l"/>
        <c:numFmt formatCode="General" sourceLinked="1"/>
        <c:majorTickMark val="none"/>
        <c:tickLblPos val="nextTo"/>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2295296"/>
        <c:crosses val="autoZero"/>
        <c:auto val="1"/>
        <c:lblAlgn val="ctr"/>
        <c:lblOffset val="100"/>
      </c:catAx>
      <c:valAx>
        <c:axId val="112295296"/>
        <c:scaling>
          <c:orientation val="minMax"/>
          <c:max val="100"/>
          <c:min val="0"/>
        </c:scaling>
        <c:axPos val="t"/>
        <c:majorGridlines>
          <c:spPr>
            <a:ln>
              <a:solidFill>
                <a:schemeClr val="bg1">
                  <a:lumMod val="85000"/>
                </a:schemeClr>
              </a:solidFill>
            </a:ln>
          </c:spPr>
        </c:majorGridlines>
        <c:numFmt formatCode="#,##0" sourceLinked="0"/>
        <c:majorTickMark val="none"/>
        <c:tickLblPos val="high"/>
        <c:spPr>
          <a:ln>
            <a:noFill/>
          </a:ln>
        </c:spPr>
        <c:txPr>
          <a:bodyPr rot="0" vert="horz"/>
          <a:lstStyle/>
          <a:p>
            <a:pPr>
              <a:defRPr sz="800" b="0" i="0" u="none" strike="noStrike" baseline="0">
                <a:solidFill>
                  <a:srgbClr val="000000"/>
                </a:solidFill>
                <a:latin typeface="Calibri"/>
                <a:ea typeface="Calibri"/>
                <a:cs typeface="Calibri"/>
              </a:defRPr>
            </a:pPr>
            <a:endParaRPr lang="en-US"/>
          </a:p>
        </c:txPr>
        <c:crossAx val="112293760"/>
        <c:crosses val="autoZero"/>
        <c:crossBetween val="between"/>
      </c:valAx>
      <c:spPr>
        <a:ln>
          <a:noFill/>
        </a:ln>
      </c:spPr>
    </c:plotArea>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3</xdr:col>
      <xdr:colOff>142875</xdr:colOff>
      <xdr:row>23</xdr:row>
      <xdr:rowOff>133350</xdr:rowOff>
    </xdr:from>
    <xdr:to>
      <xdr:col>17</xdr:col>
      <xdr:colOff>457200</xdr:colOff>
      <xdr:row>29</xdr:row>
      <xdr:rowOff>95250</xdr:rowOff>
    </xdr:to>
    <xdr:graphicFrame macro="">
      <xdr:nvGraphicFramePr>
        <xdr:cNvPr id="133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552450</xdr:colOff>
      <xdr:row>1</xdr:row>
      <xdr:rowOff>47625</xdr:rowOff>
    </xdr:from>
    <xdr:to>
      <xdr:col>10</xdr:col>
      <xdr:colOff>1076325</xdr:colOff>
      <xdr:row>1</xdr:row>
      <xdr:rowOff>323850</xdr:rowOff>
    </xdr:to>
    <xdr:pic>
      <xdr:nvPicPr>
        <xdr:cNvPr id="736257" name="Picture 2" descr="just_eiu_logo"/>
        <xdr:cNvPicPr>
          <a:picLocks noChangeAspect="1" noChangeArrowheads="1"/>
        </xdr:cNvPicPr>
      </xdr:nvPicPr>
      <xdr:blipFill>
        <a:blip xmlns:r="http://schemas.openxmlformats.org/officeDocument/2006/relationships" r:embed="rId1" cstate="print"/>
        <a:srcRect/>
        <a:stretch>
          <a:fillRect/>
        </a:stretch>
      </xdr:blipFill>
      <xdr:spPr bwMode="auto">
        <a:xfrm>
          <a:off x="4591050" y="133350"/>
          <a:ext cx="2352675" cy="276225"/>
        </a:xfrm>
        <a:prstGeom prst="rect">
          <a:avLst/>
        </a:prstGeom>
        <a:noFill/>
        <a:ln w="9525">
          <a:noFill/>
          <a:miter lim="800000"/>
          <a:headEnd/>
          <a:tailEnd/>
        </a:ln>
      </xdr:spPr>
    </xdr:pic>
    <xdr:clientData/>
  </xdr:twoCellAnchor>
  <xdr:twoCellAnchor>
    <xdr:from>
      <xdr:col>2</xdr:col>
      <xdr:colOff>190500</xdr:colOff>
      <xdr:row>2</xdr:row>
      <xdr:rowOff>142875</xdr:rowOff>
    </xdr:from>
    <xdr:to>
      <xdr:col>9</xdr:col>
      <xdr:colOff>561975</xdr:colOff>
      <xdr:row>6</xdr:row>
      <xdr:rowOff>133350</xdr:rowOff>
    </xdr:to>
    <xdr:sp macro="" textlink="">
      <xdr:nvSpPr>
        <xdr:cNvPr id="736258" name="Text Box 3"/>
        <xdr:cNvSpPr txBox="1">
          <a:spLocks noChangeArrowheads="1"/>
        </xdr:cNvSpPr>
      </xdr:nvSpPr>
      <xdr:spPr bwMode="auto">
        <a:xfrm>
          <a:off x="1181100" y="581025"/>
          <a:ext cx="4638675" cy="638175"/>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en-US" sz="1200" b="1" i="0" u="none" strike="noStrike" baseline="0">
              <a:solidFill>
                <a:srgbClr val="000000"/>
              </a:solidFill>
              <a:latin typeface="Verdana"/>
            </a:rPr>
            <a:t>Global Microscope on the Microfinance Business Environment 2009</a:t>
          </a:r>
        </a:p>
      </xdr:txBody>
    </xdr:sp>
    <xdr:clientData/>
  </xdr:twoCellAnchor>
  <xdr:twoCellAnchor>
    <xdr:from>
      <xdr:col>11</xdr:col>
      <xdr:colOff>190500</xdr:colOff>
      <xdr:row>31</xdr:row>
      <xdr:rowOff>85725</xdr:rowOff>
    </xdr:from>
    <xdr:to>
      <xdr:col>13</xdr:col>
      <xdr:colOff>257175</xdr:colOff>
      <xdr:row>33</xdr:row>
      <xdr:rowOff>142875</xdr:rowOff>
    </xdr:to>
    <xdr:grpSp>
      <xdr:nvGrpSpPr>
        <xdr:cNvPr id="736259" name="Group 4"/>
        <xdr:cNvGrpSpPr>
          <a:grpSpLocks/>
        </xdr:cNvGrpSpPr>
      </xdr:nvGrpSpPr>
      <xdr:grpSpPr bwMode="auto">
        <a:xfrm>
          <a:off x="7181850" y="5257800"/>
          <a:ext cx="1285875" cy="381000"/>
          <a:chOff x="10" y="411"/>
          <a:chExt cx="135" cy="40"/>
        </a:xfrm>
      </xdr:grpSpPr>
      <xdr:sp macro="" textlink="">
        <xdr:nvSpPr>
          <xdr:cNvPr id="736260" name="Text Box 5"/>
          <xdr:cNvSpPr txBox="1">
            <a:spLocks noChangeArrowheads="1"/>
          </xdr:cNvSpPr>
        </xdr:nvSpPr>
        <xdr:spPr bwMode="auto">
          <a:xfrm>
            <a:off x="10" y="438"/>
            <a:ext cx="135" cy="13"/>
          </a:xfrm>
          <a:prstGeom prst="rect">
            <a:avLst/>
          </a:prstGeom>
          <a:solidFill>
            <a:srgbClr val="FFFFFF"/>
          </a:solidFill>
          <a:ln w="9525">
            <a:noFill/>
            <a:miter lim="800000"/>
            <a:headEnd/>
            <a:tailEnd/>
          </a:ln>
        </xdr:spPr>
      </xdr:sp>
      <xdr:pic>
        <xdr:nvPicPr>
          <xdr:cNvPr id="736261" name="Picture 6" descr="F1_LOGO_TRANS"/>
          <xdr:cNvPicPr>
            <a:picLocks noChangeAspect="1" noChangeArrowheads="1"/>
          </xdr:cNvPicPr>
        </xdr:nvPicPr>
        <xdr:blipFill>
          <a:blip xmlns:r="http://schemas.openxmlformats.org/officeDocument/2006/relationships" r:embed="rId2" cstate="print"/>
          <a:srcRect/>
          <a:stretch>
            <a:fillRect/>
          </a:stretch>
        </xdr:blipFill>
        <xdr:spPr bwMode="auto">
          <a:xfrm>
            <a:off x="11" y="411"/>
            <a:ext cx="133" cy="40"/>
          </a:xfrm>
          <a:prstGeom prst="rect">
            <a:avLst/>
          </a:prstGeom>
          <a:noFill/>
          <a:ln w="9525">
            <a:noFill/>
            <a:miter lim="800000"/>
            <a:headEnd/>
            <a:tailEnd/>
          </a:ln>
        </xdr:spPr>
      </xdr:pic>
    </xdr:grpSp>
    <xdr:clientData/>
  </xdr:twoCellAnchor>
  <xdr:twoCellAnchor>
    <xdr:from>
      <xdr:col>0</xdr:col>
      <xdr:colOff>57150</xdr:colOff>
      <xdr:row>5</xdr:row>
      <xdr:rowOff>142875</xdr:rowOff>
    </xdr:from>
    <xdr:to>
      <xdr:col>11</xdr:col>
      <xdr:colOff>228600</xdr:colOff>
      <xdr:row>26</xdr:row>
      <xdr:rowOff>123825</xdr:rowOff>
    </xdr:to>
    <xdr:sp macro="" textlink="">
      <xdr:nvSpPr>
        <xdr:cNvPr id="736262" name="Text Box 8"/>
        <xdr:cNvSpPr txBox="1">
          <a:spLocks noChangeArrowheads="1"/>
        </xdr:cNvSpPr>
      </xdr:nvSpPr>
      <xdr:spPr bwMode="auto">
        <a:xfrm>
          <a:off x="57150" y="1066800"/>
          <a:ext cx="7162800" cy="3419475"/>
        </a:xfrm>
        <a:prstGeom prst="rect">
          <a:avLst/>
        </a:prstGeom>
        <a:solidFill>
          <a:srgbClr val="E5EEF3"/>
        </a:solidFill>
        <a:ln w="9525">
          <a:solidFill>
            <a:srgbClr val="E8E8E8"/>
          </a:solidFill>
          <a:miter lim="800000"/>
          <a:headEnd/>
          <a:tailEnd/>
        </a:ln>
      </xdr:spPr>
      <xdr:txBody>
        <a:bodyPr vertOverflow="clip" wrap="square" lIns="252000" tIns="46800" rIns="252000" bIns="118800" anchor="t" upright="1"/>
        <a:lstStyle/>
        <a:p>
          <a:pPr algn="l" rtl="0">
            <a:defRPr sz="1000"/>
          </a:pPr>
          <a:r>
            <a:rPr lang="en-US" sz="1000" b="0" i="0" u="none" strike="noStrike" baseline="0">
              <a:solidFill>
                <a:srgbClr val="333333"/>
              </a:solidFill>
              <a:latin typeface="Verdana"/>
            </a:rPr>
            <a:t>This workbook displays the results of a dynamic, qualitative scoring model constructed from 13 indicators that measure specific attributes of the business environment for microfinance across 55 countries worldwide. </a:t>
          </a:r>
        </a:p>
        <a:p>
          <a:pPr algn="l" rtl="0">
            <a:defRPr sz="1000"/>
          </a:pPr>
          <a:endParaRPr lang="en-US" sz="1000" b="0" i="0" u="none" strike="noStrike" baseline="0">
            <a:solidFill>
              <a:srgbClr val="333333"/>
            </a:solidFill>
            <a:latin typeface="Verdana"/>
          </a:endParaRPr>
        </a:p>
        <a:p>
          <a:pPr algn="l" rtl="0">
            <a:defRPr sz="1000"/>
          </a:pPr>
          <a:r>
            <a:rPr lang="en-US" sz="1000" b="0" i="0" u="none" strike="noStrike" baseline="0">
              <a:solidFill>
                <a:srgbClr val="333333"/>
              </a:solidFill>
              <a:latin typeface="Verdana"/>
            </a:rPr>
            <a:t>Each indicator is scored from 0-4, where 4=best. Three category scores -  Regulatory framework, Investment climate and Institutional development - are calculated from the weighted mean of underlying indicators and scaled from 0-100, where 100=best. An overall score is calculated from the weighted mean of the three category scores.</a:t>
          </a:r>
        </a:p>
        <a:p>
          <a:pPr algn="l" rtl="0">
            <a:defRPr sz="1000"/>
          </a:pPr>
          <a:endParaRPr lang="en-US" sz="1000" b="0" i="0" u="none" strike="noStrike" baseline="0">
            <a:solidFill>
              <a:srgbClr val="333333"/>
            </a:solidFill>
            <a:latin typeface="Verdana"/>
          </a:endParaRPr>
        </a:p>
        <a:p>
          <a:pPr algn="l" rtl="0">
            <a:defRPr sz="1000"/>
          </a:pPr>
          <a:r>
            <a:rPr lang="en-US" sz="1000" b="0" i="0" u="none" strike="noStrike" baseline="0">
              <a:solidFill>
                <a:srgbClr val="333333"/>
              </a:solidFill>
              <a:latin typeface="Verdana"/>
            </a:rPr>
            <a:t>The weighting for each indicator and category can be adjusted by editing the "Weights" tab; please note that the current category weights are as follows: 40% for Regulatory framework, 20% for Investment climate and 40% for Institutional development.</a:t>
          </a:r>
        </a:p>
        <a:p>
          <a:pPr algn="l" rtl="0">
            <a:defRPr sz="1000"/>
          </a:pPr>
          <a:endParaRPr lang="en-US" sz="1000" b="0" i="0" u="none" strike="noStrike" baseline="0">
            <a:solidFill>
              <a:srgbClr val="333333"/>
            </a:solidFill>
            <a:latin typeface="Verdana"/>
          </a:endParaRPr>
        </a:p>
        <a:p>
          <a:pPr algn="l" rtl="0">
            <a:defRPr sz="1000"/>
          </a:pPr>
          <a:r>
            <a:rPr lang="en-US" sz="1000" b="0" i="0" u="none" strike="noStrike" baseline="0">
              <a:solidFill>
                <a:srgbClr val="333333"/>
              </a:solidFill>
              <a:latin typeface="Verdana"/>
            </a:rPr>
            <a:t>Region and country rankings are displayed by category on the "SectionsRanked" tab and the corresponding selections on the left corner drop-down menus. The "Indicators_grouped" and "Ranked" tab show individual indicator scores by country and region. </a:t>
          </a:r>
        </a:p>
        <a:p>
          <a:pPr algn="l" rtl="0">
            <a:defRPr sz="1000"/>
          </a:pPr>
          <a:endParaRPr lang="en-US" sz="1000" b="0" i="0" u="none" strike="noStrike" baseline="0">
            <a:solidFill>
              <a:srgbClr val="333333"/>
            </a:solidFill>
            <a:latin typeface="Verdana"/>
          </a:endParaRPr>
        </a:p>
        <a:p>
          <a:pPr algn="l" rtl="0">
            <a:defRPr sz="1000"/>
          </a:pPr>
          <a:r>
            <a:rPr lang="en-US" sz="1000" b="0" i="0" u="none" strike="noStrike" baseline="0">
              <a:solidFill>
                <a:srgbClr val="333333"/>
              </a:solidFill>
              <a:latin typeface="Verdana"/>
            </a:rPr>
            <a:t>In-depth country analysis is included in the "Country Profile" tab, while direct comparisons of indicator scores across a select group of countries can be performed in the "Country_Comparison" tab. The "Country_History" and "Country YoY" tabs show changes for Latin America and Caribbean through 2009.</a:t>
          </a:r>
        </a:p>
        <a:p>
          <a:pPr algn="l" rtl="0">
            <a:defRPr sz="1000"/>
          </a:pPr>
          <a:endParaRPr lang="en-US" sz="1000" b="0" i="0" u="none" strike="noStrike" baseline="0">
            <a:solidFill>
              <a:srgbClr val="333333"/>
            </a:solidFill>
            <a:latin typeface="Verdana"/>
          </a:endParaRPr>
        </a:p>
        <a:p>
          <a:pPr algn="l" rtl="0">
            <a:defRPr sz="1000"/>
          </a:pPr>
          <a:endParaRPr lang="en-US" sz="1000" b="0" i="0" u="none" strike="noStrike" baseline="0">
            <a:solidFill>
              <a:srgbClr val="333333"/>
            </a:solidFill>
            <a:latin typeface="Verdana"/>
          </a:endParaRPr>
        </a:p>
      </xdr:txBody>
    </xdr:sp>
    <xdr:clientData/>
  </xdr:twoCellAnchor>
  <xdr:twoCellAnchor>
    <xdr:from>
      <xdr:col>0</xdr:col>
      <xdr:colOff>38100</xdr:colOff>
      <xdr:row>26</xdr:row>
      <xdr:rowOff>104775</xdr:rowOff>
    </xdr:from>
    <xdr:to>
      <xdr:col>11</xdr:col>
      <xdr:colOff>257175</xdr:colOff>
      <xdr:row>28</xdr:row>
      <xdr:rowOff>19050</xdr:rowOff>
    </xdr:to>
    <xdr:sp macro="" textlink="">
      <xdr:nvSpPr>
        <xdr:cNvPr id="736263" name="Text Box 9"/>
        <xdr:cNvSpPr txBox="1">
          <a:spLocks noChangeArrowheads="1"/>
        </xdr:cNvSpPr>
      </xdr:nvSpPr>
      <xdr:spPr bwMode="auto">
        <a:xfrm>
          <a:off x="38100" y="4467225"/>
          <a:ext cx="7210425" cy="238125"/>
        </a:xfrm>
        <a:prstGeom prst="rect">
          <a:avLst/>
        </a:prstGeom>
        <a:solidFill>
          <a:srgbClr val="CBD4D9"/>
        </a:solidFill>
        <a:ln w="9525">
          <a:solidFill>
            <a:srgbClr val="E8E8E8"/>
          </a:solidFill>
          <a:miter lim="800000"/>
          <a:headEnd/>
          <a:tailEnd/>
        </a:ln>
      </xdr:spPr>
      <xdr:txBody>
        <a:bodyPr vertOverflow="clip" wrap="square" lIns="72000" tIns="46800" rIns="90000" bIns="46800" anchor="t" upright="1"/>
        <a:lstStyle/>
        <a:p>
          <a:pPr algn="l" rtl="0">
            <a:defRPr sz="1000"/>
          </a:pPr>
          <a:r>
            <a:rPr lang="en-US" sz="800" b="0" i="0" u="none" strike="noStrike" baseline="0">
              <a:solidFill>
                <a:srgbClr val="333333"/>
              </a:solidFill>
              <a:latin typeface="Verdana"/>
            </a:rPr>
            <a:t>     Published:</a:t>
          </a:r>
          <a:r>
            <a:rPr lang="en-US" sz="800" b="0" i="0" u="none" strike="noStrike" baseline="0">
              <a:solidFill>
                <a:srgbClr val="000000"/>
              </a:solidFill>
              <a:latin typeface="Verdana"/>
            </a:rPr>
            <a:t> </a:t>
          </a:r>
          <a:r>
            <a:rPr lang="en-US" sz="800" b="0" i="0" u="none" strike="noStrike" baseline="0">
              <a:solidFill>
                <a:srgbClr val="003366"/>
              </a:solidFill>
              <a:latin typeface="Verdana"/>
            </a:rPr>
            <a:t>29 September 2009</a:t>
          </a:r>
          <a:r>
            <a:rPr lang="en-US" sz="800" b="0" i="0" u="none" strike="noStrike" baseline="0">
              <a:solidFill>
                <a:srgbClr val="000000"/>
              </a:solidFill>
              <a:latin typeface="Verdana"/>
            </a:rPr>
            <a:t>                             </a:t>
          </a:r>
        </a:p>
        <a:p>
          <a:pPr algn="l" rtl="0">
            <a:defRPr sz="1000"/>
          </a:pPr>
          <a:endParaRPr lang="en-US" sz="800" b="0" i="0" u="none" strike="noStrike" baseline="0">
            <a:solidFill>
              <a:srgbClr val="000000"/>
            </a:solidFill>
            <a:latin typeface="Verdana"/>
          </a:endParaRPr>
        </a:p>
      </xdr:txBody>
    </xdr:sp>
    <xdr:clientData/>
  </xdr:twoCellAnchor>
  <xdr:twoCellAnchor editAs="oneCell">
    <xdr:from>
      <xdr:col>2</xdr:col>
      <xdr:colOff>323850</xdr:colOff>
      <xdr:row>28</xdr:row>
      <xdr:rowOff>28575</xdr:rowOff>
    </xdr:from>
    <xdr:to>
      <xdr:col>4</xdr:col>
      <xdr:colOff>361950</xdr:colOff>
      <xdr:row>32</xdr:row>
      <xdr:rowOff>38100</xdr:rowOff>
    </xdr:to>
    <xdr:pic>
      <xdr:nvPicPr>
        <xdr:cNvPr id="736264" name="Picture 8" descr="IDB_Crop"/>
        <xdr:cNvPicPr>
          <a:picLocks noChangeAspect="1" noChangeArrowheads="1"/>
        </xdr:cNvPicPr>
      </xdr:nvPicPr>
      <xdr:blipFill>
        <a:blip xmlns:r="http://schemas.openxmlformats.org/officeDocument/2006/relationships" r:embed="rId3" cstate="print"/>
        <a:srcRect/>
        <a:stretch>
          <a:fillRect/>
        </a:stretch>
      </xdr:blipFill>
      <xdr:spPr bwMode="auto">
        <a:xfrm>
          <a:off x="1314450" y="4714875"/>
          <a:ext cx="1257300" cy="657225"/>
        </a:xfrm>
        <a:prstGeom prst="rect">
          <a:avLst/>
        </a:prstGeom>
        <a:noFill/>
      </xdr:spPr>
    </xdr:pic>
    <xdr:clientData/>
  </xdr:twoCellAnchor>
  <xdr:twoCellAnchor editAs="oneCell">
    <xdr:from>
      <xdr:col>4</xdr:col>
      <xdr:colOff>590550</xdr:colOff>
      <xdr:row>28</xdr:row>
      <xdr:rowOff>85725</xdr:rowOff>
    </xdr:from>
    <xdr:to>
      <xdr:col>6</xdr:col>
      <xdr:colOff>247650</xdr:colOff>
      <xdr:row>31</xdr:row>
      <xdr:rowOff>152400</xdr:rowOff>
    </xdr:to>
    <xdr:pic>
      <xdr:nvPicPr>
        <xdr:cNvPr id="736265" name="Picture 16" descr="CAF_logo color"/>
        <xdr:cNvPicPr>
          <a:picLocks noChangeAspect="1" noChangeArrowheads="1"/>
        </xdr:cNvPicPr>
      </xdr:nvPicPr>
      <xdr:blipFill>
        <a:blip xmlns:r="http://schemas.openxmlformats.org/officeDocument/2006/relationships" r:embed="rId4" cstate="print"/>
        <a:srcRect/>
        <a:stretch>
          <a:fillRect/>
        </a:stretch>
      </xdr:blipFill>
      <xdr:spPr bwMode="auto">
        <a:xfrm>
          <a:off x="2800350" y="4772025"/>
          <a:ext cx="876300" cy="552450"/>
        </a:xfrm>
        <a:prstGeom prst="rect">
          <a:avLst/>
        </a:prstGeom>
        <a:noFill/>
        <a:ln w="9525">
          <a:noFill/>
          <a:miter lim="800000"/>
          <a:headEnd/>
          <a:tailEnd/>
        </a:ln>
      </xdr:spPr>
    </xdr:pic>
    <xdr:clientData/>
  </xdr:twoCellAnchor>
  <xdr:twoCellAnchor>
    <xdr:from>
      <xdr:col>6</xdr:col>
      <xdr:colOff>457200</xdr:colOff>
      <xdr:row>28</xdr:row>
      <xdr:rowOff>133350</xdr:rowOff>
    </xdr:from>
    <xdr:to>
      <xdr:col>10</xdr:col>
      <xdr:colOff>914400</xdr:colOff>
      <xdr:row>31</xdr:row>
      <xdr:rowOff>57150</xdr:rowOff>
    </xdr:to>
    <xdr:pic>
      <xdr:nvPicPr>
        <xdr:cNvPr id="736271" name="Picture 1" descr="ifc logo"/>
        <xdr:cNvPicPr>
          <a:picLocks noChangeAspect="1" noChangeArrowheads="1"/>
        </xdr:cNvPicPr>
      </xdr:nvPicPr>
      <xdr:blipFill>
        <a:blip xmlns:r="http://schemas.openxmlformats.org/officeDocument/2006/relationships" r:embed="rId5" cstate="print"/>
        <a:srcRect/>
        <a:stretch>
          <a:fillRect/>
        </a:stretch>
      </xdr:blipFill>
      <xdr:spPr bwMode="auto">
        <a:xfrm>
          <a:off x="3886200" y="4819650"/>
          <a:ext cx="2895600" cy="409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14</xdr:col>
      <xdr:colOff>314325</xdr:colOff>
      <xdr:row>157</xdr:row>
      <xdr:rowOff>142875</xdr:rowOff>
    </xdr:to>
    <xdr:sp macro="" textlink="">
      <xdr:nvSpPr>
        <xdr:cNvPr id="737281" name="Text Box 1"/>
        <xdr:cNvSpPr txBox="1">
          <a:spLocks noChangeArrowheads="1"/>
        </xdr:cNvSpPr>
      </xdr:nvSpPr>
      <xdr:spPr bwMode="auto">
        <a:xfrm>
          <a:off x="133350" y="104775"/>
          <a:ext cx="8715375" cy="25460325"/>
        </a:xfrm>
        <a:prstGeom prst="rect">
          <a:avLst/>
        </a:prstGeom>
        <a:solidFill>
          <a:srgbClr val="FFFFFF"/>
        </a:solidFill>
        <a:ln w="9525">
          <a:solidFill>
            <a:srgbClr val="000000"/>
          </a:solidFill>
          <a:miter lim="800000"/>
          <a:headEnd/>
          <a:tailEnd/>
        </a:ln>
      </xdr:spPr>
      <xdr:txBody>
        <a:bodyPr vertOverflow="clip" wrap="square" lIns="45720" tIns="41148" rIns="0" bIns="0" anchor="t" upright="1"/>
        <a:lstStyle/>
        <a:p>
          <a:pPr algn="l" rtl="0">
            <a:defRPr sz="1000"/>
          </a:pPr>
          <a:r>
            <a:rPr lang="en-US" sz="2000" b="1" i="0" u="none" strike="noStrike" baseline="0">
              <a:solidFill>
                <a:srgbClr val="000000"/>
              </a:solidFill>
              <a:latin typeface="Arial"/>
              <a:cs typeface="Arial"/>
            </a:rPr>
            <a:t>Global Microscope on the Microfinance Business</a:t>
          </a:r>
        </a:p>
        <a:p>
          <a:pPr algn="l" rtl="0">
            <a:defRPr sz="1000"/>
          </a:pPr>
          <a:r>
            <a:rPr lang="en-US" sz="2000" b="1" i="0" u="none" strike="noStrike" baseline="0">
              <a:solidFill>
                <a:srgbClr val="000000"/>
              </a:solidFill>
              <a:latin typeface="Arial"/>
              <a:cs typeface="Arial"/>
            </a:rPr>
            <a:t>Environment</a:t>
          </a:r>
        </a:p>
        <a:p>
          <a:pPr algn="l" rtl="0">
            <a:defRPr sz="1000"/>
          </a:pPr>
          <a:r>
            <a:rPr lang="en-US" sz="1000" b="1" i="0" u="none" strike="noStrike" baseline="0">
              <a:solidFill>
                <a:srgbClr val="000000"/>
              </a:solidFill>
              <a:latin typeface="Arial"/>
              <a:cs typeface="Arial"/>
            </a:rPr>
            <a:t>Introduction:</a:t>
          </a:r>
          <a:endParaRPr lang="en-US" sz="2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Global Microscope on the Microfinance Business Environment 2009 is an index and study that maps </a:t>
          </a:r>
        </a:p>
        <a:p>
          <a:pPr algn="l" rtl="0">
            <a:defRPr sz="1000"/>
          </a:pPr>
          <a:r>
            <a:rPr lang="en-US" sz="1000" b="0" i="0" u="none" strike="noStrike" baseline="0">
              <a:solidFill>
                <a:srgbClr val="000000"/>
              </a:solidFill>
              <a:latin typeface="Arial"/>
              <a:cs typeface="Arial"/>
            </a:rPr>
            <a:t>the differences in the landscape for microfinance globally. Commissioned by the Multilateral Investment Fund </a:t>
          </a:r>
        </a:p>
        <a:p>
          <a:pPr algn="l" rtl="0">
            <a:defRPr sz="1000"/>
          </a:pPr>
          <a:r>
            <a:rPr lang="en-US" sz="1000" b="0" i="0" u="none" strike="noStrike" baseline="0">
              <a:solidFill>
                <a:srgbClr val="000000"/>
              </a:solidFill>
              <a:latin typeface="Arial"/>
              <a:cs typeface="Arial"/>
            </a:rPr>
            <a:t>(part of the Inter-American Development Bank Group), the Corporación Andina de Fomento, and </a:t>
          </a:r>
        </a:p>
        <a:p>
          <a:pPr algn="l" rtl="0">
            <a:defRPr sz="1000"/>
          </a:pPr>
          <a:r>
            <a:rPr lang="en-US" sz="1000" b="0" i="0" u="none" strike="noStrike" baseline="0">
              <a:solidFill>
                <a:srgbClr val="000000"/>
              </a:solidFill>
              <a:latin typeface="Arial"/>
              <a:cs typeface="Arial"/>
            </a:rPr>
            <a:t>the International Finance Corporation, the index builds upon a previous index and study, the Microscope on the </a:t>
          </a:r>
        </a:p>
        <a:p>
          <a:pPr algn="l" rtl="0">
            <a:defRPr sz="1000"/>
          </a:pPr>
          <a:r>
            <a:rPr lang="en-US" sz="1000" b="0" i="0" u="none" strike="noStrike" baseline="0">
              <a:solidFill>
                <a:srgbClr val="000000"/>
              </a:solidFill>
              <a:latin typeface="Arial"/>
              <a:cs typeface="Arial"/>
            </a:rPr>
            <a:t>Microfinance Business Environment in Latin America and the Caribbean. Going beyond Latin America, this new </a:t>
          </a:r>
        </a:p>
        <a:p>
          <a:pPr algn="l" rtl="0">
            <a:defRPr sz="1000"/>
          </a:pPr>
          <a:r>
            <a:rPr lang="en-US" sz="1000" b="0" i="0" u="none" strike="noStrike" baseline="0">
              <a:solidFill>
                <a:srgbClr val="000000"/>
              </a:solidFill>
              <a:latin typeface="Arial"/>
              <a:cs typeface="Arial"/>
            </a:rPr>
            <a:t>index includes assessments of the microfinance environment in 34 countries across Asia, Africa, Eastern Europe</a:t>
          </a:r>
        </a:p>
        <a:p>
          <a:pPr algn="l" rtl="0">
            <a:defRPr sz="1000"/>
          </a:pPr>
          <a:r>
            <a:rPr lang="en-US" sz="1000" b="0" i="0" u="none" strike="noStrike" baseline="0">
              <a:solidFill>
                <a:srgbClr val="000000"/>
              </a:solidFill>
              <a:latin typeface="Arial"/>
              <a:cs typeface="Arial"/>
            </a:rPr>
            <a:t>and the Middle East. The index ranks 55 countries worldwide and constitutes a pilot project—an attempt to evaluate countries </a:t>
          </a:r>
        </a:p>
        <a:p>
          <a:pPr algn="l" rtl="0">
            <a:defRPr sz="1000"/>
          </a:pPr>
          <a:r>
            <a:rPr lang="en-US" sz="1000" b="0" i="0" u="none" strike="noStrike" baseline="0">
              <a:solidFill>
                <a:srgbClr val="000000"/>
              </a:solidFill>
              <a:latin typeface="Arial"/>
              <a:cs typeface="Arial"/>
            </a:rPr>
            <a:t>across regions despite poor data and often incomplete information. Although it is impossible to capture every </a:t>
          </a:r>
        </a:p>
        <a:p>
          <a:pPr algn="l" rtl="0">
            <a:defRPr sz="1000"/>
          </a:pPr>
          <a:r>
            <a:rPr lang="en-US" sz="1000" b="0" i="0" u="none" strike="noStrike" baseline="0">
              <a:solidFill>
                <a:srgbClr val="000000"/>
              </a:solidFill>
              <a:latin typeface="Arial"/>
              <a:cs typeface="Arial"/>
            </a:rPr>
            <a:t>nuance of the microfinance environment, the index nonetheless highlights those countries that have made </a:t>
          </a:r>
        </a:p>
        <a:p>
          <a:pPr algn="l" rtl="0">
            <a:defRPr sz="1000"/>
          </a:pPr>
          <a:r>
            <a:rPr lang="en-US" sz="1000" b="0" i="0" u="none" strike="noStrike" baseline="0">
              <a:solidFill>
                <a:srgbClr val="000000"/>
              </a:solidFill>
              <a:latin typeface="Arial"/>
              <a:cs typeface="Arial"/>
            </a:rPr>
            <a:t>considerable gains in expanding financing options for the poor, and challenges those that still have work to do.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Key findings of the Microscope include:</a:t>
          </a:r>
        </a:p>
        <a:p>
          <a:pPr algn="l" rtl="0">
            <a:defRPr sz="1000"/>
          </a:pPr>
          <a:r>
            <a:rPr lang="en-US" sz="1000" b="0" i="0" u="none" strike="noStrike" baseline="0">
              <a:solidFill>
                <a:srgbClr val="000000"/>
              </a:solidFill>
              <a:latin typeface="Arial"/>
              <a:cs typeface="Arial"/>
            </a:rPr>
            <a:t>• For those countries that score well, there are a variety of paths to the top. Some perform well in all</a:t>
          </a:r>
        </a:p>
        <a:p>
          <a:pPr algn="l" rtl="0">
            <a:defRPr sz="1000"/>
          </a:pPr>
          <a:r>
            <a:rPr lang="en-US" sz="1000" b="0" i="0" u="none" strike="noStrike" baseline="0">
              <a:solidFill>
                <a:srgbClr val="000000"/>
              </a:solidFill>
              <a:latin typeface="Arial"/>
              <a:cs typeface="Arial"/>
            </a:rPr>
            <a:t>three index categories: they have a favourable legal and regulatory framework, a moderately conducive</a:t>
          </a:r>
        </a:p>
        <a:p>
          <a:pPr algn="l" rtl="0">
            <a:defRPr sz="1000"/>
          </a:pPr>
          <a:r>
            <a:rPr lang="en-US" sz="1000" b="0" i="0" u="none" strike="noStrike" baseline="0">
              <a:solidFill>
                <a:srgbClr val="000000"/>
              </a:solidFill>
              <a:latin typeface="Arial"/>
              <a:cs typeface="Arial"/>
            </a:rPr>
            <a:t>investment climate and a strong level of institutional development. (Peru, Bolivia, India, Colombia</a:t>
          </a:r>
        </a:p>
        <a:p>
          <a:pPr algn="l" rtl="0">
            <a:defRPr sz="1000"/>
          </a:pPr>
          <a:r>
            <a:rPr lang="en-US" sz="1000" b="0" i="0" u="none" strike="noStrike" baseline="0">
              <a:solidFill>
                <a:srgbClr val="000000"/>
              </a:solidFill>
              <a:latin typeface="Arial"/>
              <a:cs typeface="Arial"/>
            </a:rPr>
            <a:t>and El Salvador fall into this category). In other cases, a strong legal and regulatory framework and</a:t>
          </a:r>
        </a:p>
        <a:p>
          <a:pPr algn="l" rtl="0">
            <a:defRPr sz="1000"/>
          </a:pPr>
          <a:r>
            <a:rPr lang="en-US" sz="1000" b="0" i="0" u="none" strike="noStrike" baseline="0">
              <a:solidFill>
                <a:srgbClr val="000000"/>
              </a:solidFill>
              <a:latin typeface="Arial"/>
              <a:cs typeface="Arial"/>
            </a:rPr>
            <a:t>solid institutional development compensates for a relatively weak investment climate (Ecuador). For</a:t>
          </a:r>
        </a:p>
        <a:p>
          <a:pPr algn="l" rtl="0">
            <a:defRPr sz="1000"/>
          </a:pPr>
          <a:r>
            <a:rPr lang="en-US" sz="1000" b="0" i="0" u="none" strike="noStrike" baseline="0">
              <a:solidFill>
                <a:srgbClr val="000000"/>
              </a:solidFill>
              <a:latin typeface="Arial"/>
              <a:cs typeface="Arial"/>
            </a:rPr>
            <a:t>the Philippines, Ghana, and Uganda, scores for the legal and regulatory framework are notably higher</a:t>
          </a:r>
        </a:p>
        <a:p>
          <a:pPr algn="l" rtl="0">
            <a:defRPr sz="1000"/>
          </a:pPr>
          <a:r>
            <a:rPr lang="en-US" sz="1000" b="0" i="0" u="none" strike="noStrike" baseline="0">
              <a:solidFill>
                <a:srgbClr val="000000"/>
              </a:solidFill>
              <a:latin typeface="Arial"/>
              <a:cs typeface="Arial"/>
            </a:rPr>
            <a:t>than for institutional development and the investment climate. Other countries, such as Nicaragua,</a:t>
          </a:r>
        </a:p>
        <a:p>
          <a:pPr algn="l" rtl="0">
            <a:defRPr sz="1000"/>
          </a:pPr>
          <a:r>
            <a:rPr lang="en-US" sz="1000" b="0" i="0" u="none" strike="noStrike" baseline="0">
              <a:solidFill>
                <a:srgbClr val="000000"/>
              </a:solidFill>
              <a:latin typeface="Arial"/>
              <a:cs typeface="Arial"/>
            </a:rPr>
            <a:t>have a high level of institutional and market development that compensates for a legal framework and</a:t>
          </a:r>
        </a:p>
        <a:p>
          <a:pPr algn="l" rtl="0">
            <a:defRPr sz="1000"/>
          </a:pPr>
          <a:r>
            <a:rPr lang="en-US" sz="1000" b="0" i="0" u="none" strike="noStrike" baseline="0">
              <a:solidFill>
                <a:srgbClr val="000000"/>
              </a:solidFill>
              <a:latin typeface="Arial"/>
              <a:cs typeface="Arial"/>
            </a:rPr>
            <a:t>investment climate of modest quality.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As with the top-ranked nations, countries struggle for different reasons. Some, such as Thailand and</a:t>
          </a:r>
        </a:p>
        <a:p>
          <a:pPr algn="l" rtl="0">
            <a:defRPr sz="1000"/>
          </a:pPr>
          <a:r>
            <a:rPr lang="en-US" sz="1000" b="0" i="0" u="none" strike="noStrike" baseline="0">
              <a:solidFill>
                <a:srgbClr val="000000"/>
              </a:solidFill>
              <a:latin typeface="Arial"/>
              <a:cs typeface="Arial"/>
            </a:rPr>
            <a:t>Vietnam, posted poor scores across all three index categories. For others, including Azerbaijan, Lebanon</a:t>
          </a:r>
        </a:p>
        <a:p>
          <a:pPr algn="l" rtl="0">
            <a:defRPr sz="1000"/>
          </a:pPr>
          <a:r>
            <a:rPr lang="en-US" sz="1000" b="0" i="0" u="none" strike="noStrike" baseline="0">
              <a:solidFill>
                <a:srgbClr val="000000"/>
              </a:solidFill>
              <a:latin typeface="Arial"/>
              <a:cs typeface="Arial"/>
            </a:rPr>
            <a:t>and Mongolia, weak institutional development scores weigh on the legal and regulatory framework,</a:t>
          </a:r>
        </a:p>
        <a:p>
          <a:pPr algn="l" rtl="0">
            <a:defRPr sz="1000"/>
          </a:pPr>
          <a:r>
            <a:rPr lang="en-US" sz="1000" b="0" i="0" u="none" strike="noStrike" baseline="0">
              <a:solidFill>
                <a:srgbClr val="000000"/>
              </a:solidFill>
              <a:latin typeface="Arial"/>
              <a:cs typeface="Arial"/>
            </a:rPr>
            <a:t>indicating that competition needs to increase, MFIs should offer more products, and client information sharing</a:t>
          </a:r>
        </a:p>
        <a:p>
          <a:pPr algn="l" rtl="0">
            <a:defRPr sz="1000"/>
          </a:pPr>
          <a:r>
            <a:rPr lang="en-US" sz="1000" b="0" i="0" u="none" strike="noStrike" baseline="0">
              <a:solidFill>
                <a:srgbClr val="000000"/>
              </a:solidFill>
              <a:latin typeface="Arial"/>
              <a:cs typeface="Arial"/>
            </a:rPr>
            <a:t>must be strengthened. Nepal has its own struggles: although its institutional development</a:t>
          </a:r>
        </a:p>
        <a:p>
          <a:pPr algn="l" rtl="0">
            <a:defRPr sz="1000"/>
          </a:pPr>
          <a:r>
            <a:rPr lang="en-US" sz="1000" b="0" i="0" u="none" strike="noStrike" baseline="0">
              <a:solidFill>
                <a:srgbClr val="000000"/>
              </a:solidFill>
              <a:latin typeface="Arial"/>
              <a:cs typeface="Arial"/>
            </a:rPr>
            <a:t>for microfinance is reasonably good (ranked 20th) no country in the index has a worse investment</a:t>
          </a:r>
        </a:p>
        <a:p>
          <a:pPr algn="l" rtl="0">
            <a:defRPr sz="1000"/>
          </a:pPr>
          <a:r>
            <a:rPr lang="en-US" sz="1000" b="0" i="0" u="none" strike="noStrike" baseline="0">
              <a:solidFill>
                <a:srgbClr val="000000"/>
              </a:solidFill>
              <a:latin typeface="Arial"/>
              <a:cs typeface="Arial"/>
            </a:rPr>
            <a:t>climate. On the flip side, countries with favourable investment climates—Jamaica, Trinidad and Tobago,</a:t>
          </a:r>
        </a:p>
        <a:p>
          <a:pPr algn="l" rtl="0">
            <a:defRPr sz="1000"/>
          </a:pPr>
          <a:r>
            <a:rPr lang="en-US" sz="1000" b="0" i="0" u="none" strike="noStrike" baseline="0">
              <a:solidFill>
                <a:srgbClr val="000000"/>
              </a:solidFill>
              <a:latin typeface="Arial"/>
              <a:cs typeface="Arial"/>
            </a:rPr>
            <a:t>Uruguay and Venezuela—can score poorly in the overall index, suggesting that relatively good economic</a:t>
          </a:r>
        </a:p>
        <a:p>
          <a:pPr algn="l" rtl="0">
            <a:defRPr sz="1000"/>
          </a:pPr>
          <a:r>
            <a:rPr lang="en-US" sz="1000" b="0" i="0" u="none" strike="noStrike" baseline="0">
              <a:solidFill>
                <a:srgbClr val="000000"/>
              </a:solidFill>
              <a:latin typeface="Arial"/>
              <a:cs typeface="Arial"/>
            </a:rPr>
            <a:t>development has not spilled over to the microfinance sector. (The model weights also play a role here, as</a:t>
          </a:r>
        </a:p>
        <a:p>
          <a:pPr algn="l" rtl="0">
            <a:defRPr sz="1000"/>
          </a:pPr>
          <a:r>
            <a:rPr lang="en-US" sz="1000" b="0" i="0" u="none" strike="noStrike" baseline="0">
              <a:solidFill>
                <a:srgbClr val="000000"/>
              </a:solidFill>
              <a:latin typeface="Arial"/>
              <a:cs typeface="Arial"/>
            </a:rPr>
            <a:t>they place more importance on regulations and institutional development than on investment factors.)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Of the 20 Latin American and Caribbean countries scored in 2008, nine saw their </a:t>
          </a:r>
        </a:p>
        <a:p>
          <a:pPr algn="l" rtl="0">
            <a:defRPr sz="1000"/>
          </a:pPr>
          <a:r>
            <a:rPr lang="en-US" sz="1000" b="0" i="0" u="none" strike="noStrike" baseline="0">
              <a:solidFill>
                <a:srgbClr val="000000"/>
              </a:solidFill>
              <a:latin typeface="Arial"/>
              <a:cs typeface="Arial"/>
            </a:rPr>
            <a:t>scores improve and another nine saw scores decrease. Two registered no net change in their business </a:t>
          </a:r>
        </a:p>
        <a:p>
          <a:pPr algn="l" rtl="0">
            <a:defRPr sz="1000"/>
          </a:pPr>
          <a:r>
            <a:rPr lang="en-US" sz="1000" b="0" i="0" u="none" strike="noStrike" baseline="0">
              <a:solidFill>
                <a:srgbClr val="000000"/>
              </a:solidFill>
              <a:latin typeface="Arial"/>
              <a:cs typeface="Arial"/>
            </a:rPr>
            <a:t>environment for microfinance.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Future studies will build on this pilot project by increasing the number of countries covered, utilising new data, and refining </a:t>
          </a:r>
        </a:p>
        <a:p>
          <a:pPr algn="l" rtl="0">
            <a:defRPr sz="1000"/>
          </a:pPr>
          <a:r>
            <a:rPr lang="en-US" sz="1000" b="0" i="0" u="none" strike="noStrike" baseline="0">
              <a:solidFill>
                <a:srgbClr val="000000"/>
              </a:solidFill>
              <a:latin typeface="Arial"/>
              <a:cs typeface="Arial"/>
            </a:rPr>
            <a:t>the methodology. We welcome your feedback. Please contact us at Microfinance@economist.com.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Scoring criteria</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criteria used in this study were designed in 2007 in close consultation between the EIU research team, the </a:t>
          </a:r>
        </a:p>
        <a:p>
          <a:pPr algn="l" rtl="0">
            <a:defRPr sz="1000"/>
          </a:pPr>
          <a:r>
            <a:rPr lang="en-US" sz="1000" b="0" i="0" u="none" strike="noStrike" baseline="0">
              <a:solidFill>
                <a:srgbClr val="000000"/>
              </a:solidFill>
              <a:latin typeface="Arial"/>
              <a:cs typeface="Arial"/>
            </a:rPr>
            <a:t>Multilateral Investment Fund (part of the Inter-American Development Bank Group) and the Corporación Andina </a:t>
          </a:r>
        </a:p>
        <a:p>
          <a:pPr algn="l" rtl="0">
            <a:defRPr sz="1000"/>
          </a:pPr>
          <a:r>
            <a:rPr lang="en-US" sz="1000" b="0" i="0" u="none" strike="noStrike" baseline="0">
              <a:solidFill>
                <a:srgbClr val="000000"/>
              </a:solidFill>
              <a:latin typeface="Arial"/>
              <a:cs typeface="Arial"/>
            </a:rPr>
            <a:t>de Fomento. The real-world relevance of these indicators was evaluated through in-depth interviews conducted </a:t>
          </a:r>
        </a:p>
        <a:p>
          <a:pPr algn="l" rtl="0">
            <a:defRPr sz="1000"/>
          </a:pPr>
          <a:r>
            <a:rPr lang="en-US" sz="1000" b="0" i="0" u="none" strike="noStrike" baseline="0">
              <a:solidFill>
                <a:srgbClr val="000000"/>
              </a:solidFill>
              <a:latin typeface="Arial"/>
              <a:cs typeface="Arial"/>
            </a:rPr>
            <a:t>with country experts and microfinance practitioners from the region in late August and early September 2007; these </a:t>
          </a:r>
        </a:p>
        <a:p>
          <a:pPr algn="l" rtl="0">
            <a:defRPr sz="1000"/>
          </a:pPr>
          <a:r>
            <a:rPr lang="en-US" sz="1000" b="0" i="0" u="none" strike="noStrike" baseline="0">
              <a:solidFill>
                <a:srgbClr val="000000"/>
              </a:solidFill>
              <a:latin typeface="Arial"/>
              <a:cs typeface="Arial"/>
            </a:rPr>
            <a:t>indicators were reused in their entirety for 2008 and for the global pilot in 2009.</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Economist Intelligence Unit gathered data for the Microscope from the following types of sources </a:t>
          </a:r>
        </a:p>
        <a:p>
          <a:pPr algn="l" rtl="0">
            <a:defRPr sz="1000"/>
          </a:pPr>
          <a:r>
            <a:rPr lang="en-US" sz="1000" b="0" i="0" u="none" strike="noStrike" baseline="0">
              <a:solidFill>
                <a:srgbClr val="000000"/>
              </a:solidFill>
              <a:latin typeface="Arial"/>
              <a:cs typeface="Arial"/>
            </a:rPr>
            <a:t>(see the Appendix for a more complete listing):</a:t>
          </a:r>
        </a:p>
        <a:p>
          <a:pPr algn="l" rtl="0">
            <a:defRPr sz="1000"/>
          </a:pPr>
          <a:r>
            <a:rPr lang="en-US" sz="1000" b="0" i="0" u="none" strike="noStrike" baseline="0">
              <a:solidFill>
                <a:srgbClr val="000000"/>
              </a:solidFill>
              <a:latin typeface="Arial"/>
              <a:cs typeface="Arial"/>
            </a:rPr>
            <a:t>           • Personal interviews (a total of 120 worldwide, including double the number for Latin America and the Caribbean as compared to 2008)</a:t>
          </a:r>
        </a:p>
        <a:p>
          <a:pPr algn="l" rtl="0">
            <a:defRPr sz="1000"/>
          </a:pPr>
          <a:r>
            <a:rPr lang="en-US" sz="1000" b="0" i="0" u="none" strike="noStrike" baseline="0">
              <a:solidFill>
                <a:srgbClr val="000000"/>
              </a:solidFill>
              <a:latin typeface="Arial"/>
              <a:cs typeface="Arial"/>
            </a:rPr>
            <a:t>           • Online expert survey, based on the Microscope criteria (a total of 176 respondents answered the survey in June/July 2009)</a:t>
          </a:r>
        </a:p>
        <a:p>
          <a:pPr algn="l" rtl="0">
            <a:defRPr sz="1000"/>
          </a:pPr>
          <a:r>
            <a:rPr lang="en-US" sz="1000" b="0" i="0" u="none" strike="noStrike" baseline="0">
              <a:solidFill>
                <a:srgbClr val="000000"/>
              </a:solidFill>
              <a:latin typeface="Arial"/>
              <a:cs typeface="Arial"/>
            </a:rPr>
            <a:t>           • Economist Intelligence Unit proprietary country rankings and reports</a:t>
          </a:r>
        </a:p>
        <a:p>
          <a:pPr algn="l" rtl="0">
            <a:defRPr sz="1000"/>
          </a:pPr>
          <a:r>
            <a:rPr lang="en-US" sz="1000" b="0" i="0" u="none" strike="noStrike" baseline="0">
              <a:solidFill>
                <a:srgbClr val="000000"/>
              </a:solidFill>
              <a:latin typeface="Arial"/>
              <a:cs typeface="Arial"/>
            </a:rPr>
            <a:t>           • Scholarly studies</a:t>
          </a:r>
        </a:p>
        <a:p>
          <a:pPr algn="l" rtl="0">
            <a:defRPr sz="1000"/>
          </a:pPr>
          <a:r>
            <a:rPr lang="en-US" sz="1000" b="0" i="0" u="none" strike="noStrike" baseline="0">
              <a:solidFill>
                <a:srgbClr val="000000"/>
              </a:solidFill>
              <a:latin typeface="Arial"/>
              <a:cs typeface="Arial"/>
            </a:rPr>
            <a:t>           • Websites of government authorities and international organisations</a:t>
          </a:r>
        </a:p>
        <a:p>
          <a:pPr algn="l" rtl="0">
            <a:defRPr sz="1000"/>
          </a:pPr>
          <a:r>
            <a:rPr lang="en-US" sz="1000" b="0" i="0" u="none" strike="noStrike" baseline="0">
              <a:solidFill>
                <a:srgbClr val="000000"/>
              </a:solidFill>
              <a:latin typeface="Arial"/>
              <a:cs typeface="Arial"/>
            </a:rPr>
            <a:t>           • Websites of industry associations</a:t>
          </a:r>
        </a:p>
        <a:p>
          <a:pPr algn="l" rtl="0">
            <a:defRPr sz="1000"/>
          </a:pPr>
          <a:r>
            <a:rPr lang="en-US" sz="1000" b="0" i="0" u="none" strike="noStrike" baseline="0">
              <a:solidFill>
                <a:srgbClr val="000000"/>
              </a:solidFill>
              <a:latin typeface="Arial"/>
              <a:cs typeface="Arial"/>
            </a:rPr>
            <a:t>           • Local and international news media reports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see an expanded list of scoring criteria and a discussion of methodology, please see the Microscope report (appendix section) </a:t>
          </a:r>
        </a:p>
        <a:p>
          <a:pPr algn="l" rtl="0">
            <a:defRPr sz="1000"/>
          </a:pPr>
          <a:r>
            <a:rPr lang="en-US" sz="1000" b="0" i="0" u="none" strike="noStrike" baseline="0">
              <a:solidFill>
                <a:srgbClr val="000000"/>
              </a:solidFill>
              <a:latin typeface="Arial"/>
              <a:cs typeface="Arial"/>
            </a:rPr>
            <a:t>available at www.eiu.com/GlobalMicroscope2009, www.iadb.org/micamericas, www.caf.com/mipyme and www.ifc.org/microfinance.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Based on original consultations, the categories “Regulatory Framework” and “Institutional Development” were each </a:t>
          </a:r>
        </a:p>
        <a:p>
          <a:pPr algn="l" rtl="0">
            <a:defRPr sz="1000"/>
          </a:pPr>
          <a:r>
            <a:rPr lang="en-US" sz="1000" b="0" i="0" u="none" strike="noStrike" baseline="0">
              <a:solidFill>
                <a:srgbClr val="000000"/>
              </a:solidFill>
              <a:latin typeface="Arial"/>
              <a:cs typeface="Arial"/>
            </a:rPr>
            <a:t>weighted an aggregate 40% toward the 100 point score while “Investment Climate” was weighted 20%. However, it </a:t>
          </a:r>
        </a:p>
        <a:p>
          <a:pPr algn="l" rtl="0">
            <a:defRPr sz="1000"/>
          </a:pPr>
          <a:r>
            <a:rPr lang="en-US" sz="1000" b="0" i="0" u="none" strike="noStrike" baseline="0">
              <a:solidFill>
                <a:srgbClr val="000000"/>
              </a:solidFill>
              <a:latin typeface="Arial"/>
              <a:cs typeface="Arial"/>
            </a:rPr>
            <a:t>is important to point out that, even with alternative weighting schemes that assign more weight to the latter category </a:t>
          </a:r>
        </a:p>
        <a:p>
          <a:pPr algn="l" rtl="0">
            <a:defRPr sz="1000"/>
          </a:pPr>
          <a:r>
            <a:rPr lang="en-US" sz="1000" b="0" i="0" u="none" strike="noStrike" baseline="0">
              <a:solidFill>
                <a:srgbClr val="000000"/>
              </a:solidFill>
              <a:latin typeface="Arial"/>
              <a:cs typeface="Arial"/>
            </a:rPr>
            <a:t>(such as weighting each of the 13 variables equally, or weighting each of the three categories equally), the relative </a:t>
          </a:r>
        </a:p>
        <a:p>
          <a:pPr algn="l" rtl="0">
            <a:defRPr sz="1000"/>
          </a:pPr>
          <a:r>
            <a:rPr lang="en-US" sz="1000" b="0" i="0" u="none" strike="noStrike" baseline="0">
              <a:solidFill>
                <a:srgbClr val="000000"/>
              </a:solidFill>
              <a:latin typeface="Arial"/>
              <a:cs typeface="Arial"/>
            </a:rPr>
            <a:t>importance of the investment climate in shaping overall microfinance environments consistently emerged as secondary </a:t>
          </a:r>
        </a:p>
        <a:p>
          <a:pPr algn="l" rtl="0">
            <a:defRPr sz="1000"/>
          </a:pPr>
          <a:r>
            <a:rPr lang="en-US" sz="1000" b="0" i="0" u="none" strike="noStrike" baseline="0">
              <a:solidFill>
                <a:srgbClr val="000000"/>
              </a:solidFill>
              <a:latin typeface="Arial"/>
              <a:cs typeface="Arial"/>
            </a:rPr>
            <a:t>to that of the regulatory framework and institutional development.</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2</xdr:col>
      <xdr:colOff>0</xdr:colOff>
      <xdr:row>3</xdr:row>
      <xdr:rowOff>0</xdr:rowOff>
    </xdr:to>
    <xdr:graphicFrame macro="">
      <xdr:nvGraphicFramePr>
        <xdr:cNvPr id="1549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0</xdr:rowOff>
    </xdr:from>
    <xdr:to>
      <xdr:col>2</xdr:col>
      <xdr:colOff>0</xdr:colOff>
      <xdr:row>3</xdr:row>
      <xdr:rowOff>0</xdr:rowOff>
    </xdr:to>
    <xdr:graphicFrame macro="">
      <xdr:nvGraphicFramePr>
        <xdr:cNvPr id="154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71437</xdr:colOff>
      <xdr:row>44</xdr:row>
      <xdr:rowOff>71438</xdr:rowOff>
    </xdr:from>
    <xdr:to>
      <xdr:col>9</xdr:col>
      <xdr:colOff>226219</xdr:colOff>
      <xdr:row>49</xdr:row>
      <xdr:rowOff>142875</xdr:rowOff>
    </xdr:to>
    <xdr:sp macro="" textlink="">
      <xdr:nvSpPr>
        <xdr:cNvPr id="2" name="TextBox 1"/>
        <xdr:cNvSpPr txBox="1"/>
      </xdr:nvSpPr>
      <xdr:spPr>
        <a:xfrm>
          <a:off x="3490912" y="7196138"/>
          <a:ext cx="1593057" cy="88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TODO:</a:t>
          </a:r>
        </a:p>
        <a:p>
          <a:r>
            <a:rPr lang="en-GB" sz="1100"/>
            <a:t>Don't show as outlier if</a:t>
          </a:r>
          <a:r>
            <a:rPr lang="en-GB" sz="1100" baseline="0"/>
            <a:t> also is selected city (?(</a:t>
          </a:r>
          <a:endParaRPr lang="en-GB" sz="1100"/>
        </a:p>
      </xdr:txBody>
    </xdr:sp>
    <xdr:clientData/>
  </xdr:twoCellAnchor>
  <xdr:twoCellAnchor>
    <xdr:from>
      <xdr:col>5</xdr:col>
      <xdr:colOff>71437</xdr:colOff>
      <xdr:row>44</xdr:row>
      <xdr:rowOff>71438</xdr:rowOff>
    </xdr:from>
    <xdr:to>
      <xdr:col>9</xdr:col>
      <xdr:colOff>226219</xdr:colOff>
      <xdr:row>49</xdr:row>
      <xdr:rowOff>142875</xdr:rowOff>
    </xdr:to>
    <xdr:sp macro="" textlink="">
      <xdr:nvSpPr>
        <xdr:cNvPr id="3" name="TextBox 1"/>
        <xdr:cNvSpPr txBox="1"/>
      </xdr:nvSpPr>
      <xdr:spPr>
        <a:xfrm>
          <a:off x="3490912" y="7196138"/>
          <a:ext cx="1593057" cy="88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t>TODO:</a:t>
          </a:r>
        </a:p>
        <a:p>
          <a:r>
            <a:rPr lang="en-GB" sz="1100"/>
            <a:t>Don't show as outlier if</a:t>
          </a:r>
          <a:r>
            <a:rPr lang="en-GB" sz="1100" baseline="0"/>
            <a:t> also is selected city (?(</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2</xdr:row>
      <xdr:rowOff>9525</xdr:rowOff>
    </xdr:from>
    <xdr:to>
      <xdr:col>12</xdr:col>
      <xdr:colOff>219075</xdr:colOff>
      <xdr:row>12</xdr:row>
      <xdr:rowOff>66675</xdr:rowOff>
    </xdr:to>
    <xdr:graphicFrame macro="">
      <xdr:nvGraphicFramePr>
        <xdr:cNvPr id="431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xdr:row>
      <xdr:rowOff>9525</xdr:rowOff>
    </xdr:from>
    <xdr:to>
      <xdr:col>12</xdr:col>
      <xdr:colOff>219075</xdr:colOff>
      <xdr:row>12</xdr:row>
      <xdr:rowOff>66675</xdr:rowOff>
    </xdr:to>
    <xdr:graphicFrame macro="">
      <xdr:nvGraphicFramePr>
        <xdr:cNvPr id="431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3257550</xdr:colOff>
      <xdr:row>8</xdr:row>
      <xdr:rowOff>0</xdr:rowOff>
    </xdr:to>
    <xdr:graphicFrame macro="">
      <xdr:nvGraphicFramePr>
        <xdr:cNvPr id="17015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10</xdr:row>
      <xdr:rowOff>0</xdr:rowOff>
    </xdr:from>
    <xdr:to>
      <xdr:col>4</xdr:col>
      <xdr:colOff>3257550</xdr:colOff>
      <xdr:row>16</xdr:row>
      <xdr:rowOff>161925</xdr:rowOff>
    </xdr:to>
    <xdr:graphicFrame macro="">
      <xdr:nvGraphicFramePr>
        <xdr:cNvPr id="1701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xdr:row>
      <xdr:rowOff>0</xdr:rowOff>
    </xdr:from>
    <xdr:to>
      <xdr:col>10</xdr:col>
      <xdr:colOff>171450</xdr:colOff>
      <xdr:row>7</xdr:row>
      <xdr:rowOff>161925</xdr:rowOff>
    </xdr:to>
    <xdr:graphicFrame macro="">
      <xdr:nvGraphicFramePr>
        <xdr:cNvPr id="1701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10</xdr:row>
      <xdr:rowOff>0</xdr:rowOff>
    </xdr:from>
    <xdr:to>
      <xdr:col>10</xdr:col>
      <xdr:colOff>171450</xdr:colOff>
      <xdr:row>16</xdr:row>
      <xdr:rowOff>161925</xdr:rowOff>
    </xdr:to>
    <xdr:graphicFrame macro="">
      <xdr:nvGraphicFramePr>
        <xdr:cNvPr id="17016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257175</xdr:colOff>
      <xdr:row>3</xdr:row>
      <xdr:rowOff>0</xdr:rowOff>
    </xdr:from>
    <xdr:to>
      <xdr:col>14</xdr:col>
      <xdr:colOff>0</xdr:colOff>
      <xdr:row>29</xdr:row>
      <xdr:rowOff>95250</xdr:rowOff>
    </xdr:to>
    <xdr:graphicFrame macro="">
      <xdr:nvGraphicFramePr>
        <xdr:cNvPr id="349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257175</xdr:colOff>
      <xdr:row>3</xdr:row>
      <xdr:rowOff>0</xdr:rowOff>
    </xdr:from>
    <xdr:to>
      <xdr:col>14</xdr:col>
      <xdr:colOff>0</xdr:colOff>
      <xdr:row>29</xdr:row>
      <xdr:rowOff>95250</xdr:rowOff>
    </xdr:to>
    <xdr:graphicFrame macro="">
      <xdr:nvGraphicFramePr>
        <xdr:cNvPr id="349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152402</xdr:colOff>
      <xdr:row>3</xdr:row>
      <xdr:rowOff>9526</xdr:rowOff>
    </xdr:from>
    <xdr:to>
      <xdr:col>0</xdr:col>
      <xdr:colOff>1609725</xdr:colOff>
      <xdr:row>9</xdr:row>
      <xdr:rowOff>152401</xdr:rowOff>
    </xdr:to>
    <xdr:sp macro="" textlink="">
      <xdr:nvSpPr>
        <xdr:cNvPr id="3" name="TextBox 1"/>
        <xdr:cNvSpPr txBox="1"/>
      </xdr:nvSpPr>
      <xdr:spPr>
        <a:xfrm>
          <a:off x="152402" y="895351"/>
          <a:ext cx="1457323"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0" i="0">
              <a:solidFill>
                <a:sysClr val="windowText" lastClr="000000"/>
              </a:solidFill>
              <a:latin typeface="+mn-lt"/>
              <a:ea typeface="+mn-ea"/>
              <a:cs typeface="+mn-cs"/>
            </a:rPr>
            <a:t>Change weights by editing numbers in the "Weight" column.</a:t>
          </a:r>
        </a:p>
        <a:p>
          <a:pPr rtl="0"/>
          <a:endParaRPr lang="en-GB" sz="1000">
            <a:solidFill>
              <a:sysClr val="windowText" lastClr="000000"/>
            </a:solidFill>
          </a:endParaRPr>
        </a:p>
        <a:p>
          <a:pPr rtl="0"/>
          <a:r>
            <a:rPr lang="en-US" sz="1000" b="0" i="0">
              <a:solidFill>
                <a:sysClr val="windowText" lastClr="000000"/>
              </a:solidFill>
              <a:latin typeface="+mn-lt"/>
              <a:ea typeface="+mn-ea"/>
              <a:cs typeface="+mn-cs"/>
            </a:rPr>
            <a:t>Set a weight of zero to completely remove the influence of any indicator/category.</a:t>
          </a:r>
          <a:endParaRPr lang="en-GB" sz="1000">
            <a:solidFill>
              <a:sysClr val="windowText" lastClr="000000"/>
            </a:solidFill>
          </a:endParaRPr>
        </a:p>
      </xdr:txBody>
    </xdr:sp>
    <xdr:clientData/>
  </xdr:twoCellAnchor>
  <xdr:twoCellAnchor>
    <xdr:from>
      <xdr:col>9</xdr:col>
      <xdr:colOff>0</xdr:colOff>
      <xdr:row>1</xdr:row>
      <xdr:rowOff>0</xdr:rowOff>
    </xdr:from>
    <xdr:to>
      <xdr:col>13</xdr:col>
      <xdr:colOff>314325</xdr:colOff>
      <xdr:row>43</xdr:row>
      <xdr:rowOff>95250</xdr:rowOff>
    </xdr:to>
    <xdr:graphicFrame macro="">
      <xdr:nvGraphicFramePr>
        <xdr:cNvPr id="851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152402</xdr:colOff>
      <xdr:row>3</xdr:row>
      <xdr:rowOff>9525</xdr:rowOff>
    </xdr:from>
    <xdr:to>
      <xdr:col>0</xdr:col>
      <xdr:colOff>1609725</xdr:colOff>
      <xdr:row>10</xdr:row>
      <xdr:rowOff>152399</xdr:rowOff>
    </xdr:to>
    <xdr:sp macro="" textlink="">
      <xdr:nvSpPr>
        <xdr:cNvPr id="2" name="TextBox 1"/>
        <xdr:cNvSpPr txBox="1"/>
      </xdr:nvSpPr>
      <xdr:spPr>
        <a:xfrm>
          <a:off x="152402" y="895350"/>
          <a:ext cx="1457323"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0" i="0">
              <a:solidFill>
                <a:sysClr val="windowText" lastClr="000000"/>
              </a:solidFill>
              <a:latin typeface="+mn-lt"/>
              <a:ea typeface="+mn-ea"/>
              <a:cs typeface="+mn-cs"/>
            </a:rPr>
            <a:t>Change weights by editing numbers in the "Weight" column.</a:t>
          </a:r>
        </a:p>
        <a:p>
          <a:pPr rtl="0"/>
          <a:endParaRPr lang="en-GB" sz="1000">
            <a:solidFill>
              <a:sysClr val="windowText" lastClr="000000"/>
            </a:solidFill>
          </a:endParaRPr>
        </a:p>
        <a:p>
          <a:pPr rtl="0"/>
          <a:r>
            <a:rPr lang="en-US" sz="1000" b="0" i="0">
              <a:solidFill>
                <a:sysClr val="windowText" lastClr="000000"/>
              </a:solidFill>
              <a:latin typeface="+mn-lt"/>
              <a:ea typeface="+mn-ea"/>
              <a:cs typeface="+mn-cs"/>
            </a:rPr>
            <a:t>Set a weight of zero to completely remove the influence of any indicator/category.</a:t>
          </a:r>
          <a:endParaRPr lang="en-GB" sz="1000">
            <a:solidFill>
              <a:sysClr val="windowText" lastClr="000000"/>
            </a:solidFill>
          </a:endParaRPr>
        </a:p>
      </xdr:txBody>
    </xdr:sp>
    <xdr:clientData/>
  </xdr:twoCellAnchor>
  <xdr:twoCellAnchor>
    <xdr:from>
      <xdr:col>9</xdr:col>
      <xdr:colOff>0</xdr:colOff>
      <xdr:row>1</xdr:row>
      <xdr:rowOff>0</xdr:rowOff>
    </xdr:from>
    <xdr:to>
      <xdr:col>13</xdr:col>
      <xdr:colOff>314325</xdr:colOff>
      <xdr:row>43</xdr:row>
      <xdr:rowOff>95250</xdr:rowOff>
    </xdr:to>
    <xdr:graphicFrame macro="">
      <xdr:nvGraphicFramePr>
        <xdr:cNvPr id="85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drawing" Target="../drawings/drawing7.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Q20"/>
  <sheetViews>
    <sheetView zoomScale="80" zoomScaleNormal="80" workbookViewId="0">
      <pane ySplit="1" topLeftCell="A2" activePane="bottomLeft" state="frozen"/>
      <selection pane="bottomLeft" activeCell="A18" sqref="A18"/>
    </sheetView>
  </sheetViews>
  <sheetFormatPr defaultRowHeight="12.75"/>
  <cols>
    <col min="5" max="5" width="10.5703125" bestFit="1" customWidth="1"/>
    <col min="6" max="6" width="15" customWidth="1"/>
    <col min="10" max="10" width="37.7109375" customWidth="1"/>
  </cols>
  <sheetData>
    <row r="1" spans="1:17" s="14" customFormat="1" ht="15">
      <c r="A1" s="14" t="s">
        <v>881</v>
      </c>
      <c r="B1" s="14" t="s">
        <v>882</v>
      </c>
      <c r="C1" s="14" t="s">
        <v>883</v>
      </c>
      <c r="D1" s="14" t="s">
        <v>884</v>
      </c>
      <c r="E1" s="14" t="s">
        <v>889</v>
      </c>
      <c r="F1" s="14" t="s">
        <v>885</v>
      </c>
      <c r="G1" s="14" t="s">
        <v>888</v>
      </c>
      <c r="H1" s="14" t="s">
        <v>886</v>
      </c>
      <c r="J1" s="14" t="s">
        <v>887</v>
      </c>
      <c r="K1" s="14" t="s">
        <v>940</v>
      </c>
      <c r="L1" s="14" t="s">
        <v>929</v>
      </c>
      <c r="M1" s="14" t="s">
        <v>930</v>
      </c>
      <c r="N1" s="14" t="s">
        <v>931</v>
      </c>
      <c r="O1" s="14" t="s">
        <v>932</v>
      </c>
      <c r="P1" s="14" t="s">
        <v>933</v>
      </c>
    </row>
    <row r="2" spans="1:17" s="1" customFormat="1">
      <c r="A2" s="1">
        <v>1</v>
      </c>
      <c r="B2" s="1">
        <v>0</v>
      </c>
      <c r="C2" s="1" t="s">
        <v>906</v>
      </c>
      <c r="E2" s="4" t="str">
        <f t="shared" ref="E2:E18" si="0">IF(D2="","",100/COUNTIF(D$3:D$100,D2))</f>
        <v/>
      </c>
      <c r="F2" s="1" t="s">
        <v>907</v>
      </c>
      <c r="G2" s="1" t="s">
        <v>927</v>
      </c>
      <c r="H2" s="1" t="s">
        <v>923</v>
      </c>
      <c r="J2" s="1" t="str">
        <f t="shared" ref="J2:J18" si="1">IF(B2&lt;2,F2,IF(B2=2,CONCATENATE(INDEX(F$2:F$100,MATCH(D2,C$2:C$100,0))," :: ",F2),CONCATENATE(INDEX(J$2:J$100,MATCH(D2,C$2:C$100,0))," :: ",F2)))</f>
        <v>Overall score</v>
      </c>
      <c r="K2" s="1" t="str">
        <f t="shared" ref="K2:K18" si="2">CONCATENATE(REPT("     ",B2),F2)</f>
        <v>Overall score</v>
      </c>
    </row>
    <row r="3" spans="1:17" s="15" customFormat="1">
      <c r="A3" s="15">
        <v>2</v>
      </c>
      <c r="B3" s="15">
        <v>1</v>
      </c>
      <c r="C3" s="15" t="s">
        <v>890</v>
      </c>
      <c r="D3" s="15" t="s">
        <v>906</v>
      </c>
      <c r="E3" s="16">
        <f t="shared" si="0"/>
        <v>33.333333333333336</v>
      </c>
      <c r="F3" s="15" t="s">
        <v>908</v>
      </c>
      <c r="G3" s="15" t="s">
        <v>927</v>
      </c>
      <c r="H3" s="15" t="s">
        <v>924</v>
      </c>
      <c r="J3" s="15" t="str">
        <f t="shared" si="1"/>
        <v xml:space="preserve">Regulatory Framework </v>
      </c>
      <c r="K3" s="15" t="str">
        <f t="shared" si="2"/>
        <v xml:space="preserve">     Regulatory Framework </v>
      </c>
      <c r="Q3" s="15" t="s">
        <v>955</v>
      </c>
    </row>
    <row r="4" spans="1:17">
      <c r="A4">
        <v>3</v>
      </c>
      <c r="B4">
        <v>2</v>
      </c>
      <c r="C4" t="s">
        <v>891</v>
      </c>
      <c r="D4" t="s">
        <v>890</v>
      </c>
      <c r="E4" s="16">
        <f t="shared" si="0"/>
        <v>25</v>
      </c>
      <c r="F4" t="s">
        <v>909</v>
      </c>
      <c r="G4" s="4" t="s">
        <v>928</v>
      </c>
      <c r="H4" s="4" t="s">
        <v>1009</v>
      </c>
      <c r="I4" s="4" t="s">
        <v>1035</v>
      </c>
      <c r="J4" s="4" t="str">
        <f t="shared" si="1"/>
        <v>Regulatory Framework  :: Regulation of microcredit operations</v>
      </c>
      <c r="K4" s="4" t="str">
        <f t="shared" si="2"/>
        <v xml:space="preserve">          Regulation of microcredit operations</v>
      </c>
      <c r="L4" s="4" t="s">
        <v>965</v>
      </c>
      <c r="M4" t="s">
        <v>966</v>
      </c>
      <c r="N4" t="s">
        <v>967</v>
      </c>
      <c r="O4" t="s">
        <v>969</v>
      </c>
      <c r="P4" t="s">
        <v>968</v>
      </c>
      <c r="Q4" t="s">
        <v>951</v>
      </c>
    </row>
    <row r="5" spans="1:17">
      <c r="A5">
        <v>4</v>
      </c>
      <c r="B5">
        <v>2</v>
      </c>
      <c r="C5" t="s">
        <v>892</v>
      </c>
      <c r="D5" t="s">
        <v>890</v>
      </c>
      <c r="E5" s="16">
        <f t="shared" si="0"/>
        <v>25</v>
      </c>
      <c r="F5" t="s">
        <v>1173</v>
      </c>
      <c r="G5" s="4" t="s">
        <v>928</v>
      </c>
      <c r="H5" s="4" t="s">
        <v>1010</v>
      </c>
      <c r="I5" s="4" t="s">
        <v>1011</v>
      </c>
      <c r="J5" s="4" t="str">
        <f t="shared" si="1"/>
        <v>Regulatory Framework  :: Formation and operation of regulated, specialised MFIs</v>
      </c>
      <c r="K5" s="4" t="str">
        <f t="shared" si="2"/>
        <v xml:space="preserve">          Formation and operation of regulated, specialised MFIs</v>
      </c>
      <c r="L5" s="4" t="s">
        <v>970</v>
      </c>
      <c r="M5" t="s">
        <v>971</v>
      </c>
      <c r="N5" t="s">
        <v>972</v>
      </c>
      <c r="O5" t="s">
        <v>973</v>
      </c>
      <c r="P5" t="s">
        <v>974</v>
      </c>
      <c r="Q5" t="s">
        <v>952</v>
      </c>
    </row>
    <row r="6" spans="1:17">
      <c r="A6">
        <v>5</v>
      </c>
      <c r="B6">
        <v>2</v>
      </c>
      <c r="C6" t="s">
        <v>893</v>
      </c>
      <c r="D6" t="s">
        <v>890</v>
      </c>
      <c r="E6" s="16">
        <f t="shared" si="0"/>
        <v>25</v>
      </c>
      <c r="F6" t="s">
        <v>910</v>
      </c>
      <c r="G6" s="4" t="s">
        <v>928</v>
      </c>
      <c r="H6" s="4" t="s">
        <v>1012</v>
      </c>
      <c r="I6" s="4" t="s">
        <v>1027</v>
      </c>
      <c r="J6" s="4" t="str">
        <f t="shared" si="1"/>
        <v>Regulatory Framework  :: Formation and operation of non-regulated MFIs</v>
      </c>
      <c r="K6" s="4" t="str">
        <f t="shared" si="2"/>
        <v xml:space="preserve">          Formation and operation of non-regulated MFIs</v>
      </c>
      <c r="L6" s="4" t="s">
        <v>975</v>
      </c>
      <c r="M6" t="s">
        <v>976</v>
      </c>
      <c r="N6" t="s">
        <v>977</v>
      </c>
      <c r="O6" t="s">
        <v>978</v>
      </c>
      <c r="P6" s="4" t="s">
        <v>979</v>
      </c>
      <c r="Q6" t="s">
        <v>953</v>
      </c>
    </row>
    <row r="7" spans="1:17">
      <c r="A7">
        <v>6</v>
      </c>
      <c r="B7">
        <v>2</v>
      </c>
      <c r="C7" t="s">
        <v>894</v>
      </c>
      <c r="D7" t="s">
        <v>890</v>
      </c>
      <c r="E7" s="16">
        <f t="shared" si="0"/>
        <v>25</v>
      </c>
      <c r="F7" t="s">
        <v>911</v>
      </c>
      <c r="G7" s="4" t="s">
        <v>928</v>
      </c>
      <c r="H7" s="4" t="s">
        <v>1013</v>
      </c>
      <c r="I7" s="4" t="s">
        <v>1027</v>
      </c>
      <c r="J7" s="4" t="str">
        <f t="shared" si="1"/>
        <v>Regulatory Framework  :: Regulatory and examination capacity</v>
      </c>
      <c r="K7" s="4" t="str">
        <f t="shared" si="2"/>
        <v xml:space="preserve">          Regulatory and examination capacity</v>
      </c>
      <c r="L7" t="s">
        <v>980</v>
      </c>
      <c r="M7" t="s">
        <v>981</v>
      </c>
      <c r="N7" t="s">
        <v>982</v>
      </c>
      <c r="O7" t="s">
        <v>983</v>
      </c>
      <c r="P7" t="s">
        <v>1048</v>
      </c>
      <c r="Q7" t="s">
        <v>954</v>
      </c>
    </row>
    <row r="8" spans="1:17" s="15" customFormat="1">
      <c r="A8" s="15">
        <v>7</v>
      </c>
      <c r="B8" s="15">
        <v>1</v>
      </c>
      <c r="C8" s="15" t="s">
        <v>895</v>
      </c>
      <c r="D8" s="15" t="s">
        <v>906</v>
      </c>
      <c r="E8" s="16">
        <f t="shared" si="0"/>
        <v>33.333333333333336</v>
      </c>
      <c r="F8" s="15" t="s">
        <v>912</v>
      </c>
      <c r="G8" s="15" t="s">
        <v>927</v>
      </c>
      <c r="H8" s="15" t="s">
        <v>925</v>
      </c>
      <c r="J8" s="15" t="str">
        <f t="shared" si="1"/>
        <v>Investment Climate</v>
      </c>
      <c r="K8" s="15" t="str">
        <f t="shared" si="2"/>
        <v xml:space="preserve">     Investment Climate</v>
      </c>
      <c r="Q8" s="15" t="s">
        <v>955</v>
      </c>
    </row>
    <row r="9" spans="1:17">
      <c r="A9">
        <v>8</v>
      </c>
      <c r="B9">
        <v>2</v>
      </c>
      <c r="C9" t="s">
        <v>896</v>
      </c>
      <c r="D9" t="s">
        <v>895</v>
      </c>
      <c r="E9" s="16">
        <f t="shared" si="0"/>
        <v>16.666666666666668</v>
      </c>
      <c r="F9" t="s">
        <v>913</v>
      </c>
      <c r="G9" s="4" t="s">
        <v>928</v>
      </c>
      <c r="H9" s="4" t="s">
        <v>1014</v>
      </c>
      <c r="I9" t="s">
        <v>1015</v>
      </c>
      <c r="J9" s="4" t="str">
        <f t="shared" si="1"/>
        <v>Investment Climate :: Political stability</v>
      </c>
      <c r="K9" s="4" t="str">
        <f t="shared" si="2"/>
        <v xml:space="preserve">          Political stability</v>
      </c>
      <c r="L9" t="s">
        <v>984</v>
      </c>
      <c r="M9" t="s">
        <v>985</v>
      </c>
      <c r="N9" t="s">
        <v>986</v>
      </c>
      <c r="O9" t="s">
        <v>987</v>
      </c>
      <c r="P9" t="s">
        <v>988</v>
      </c>
      <c r="Q9" t="s">
        <v>956</v>
      </c>
    </row>
    <row r="10" spans="1:17">
      <c r="A10">
        <v>9</v>
      </c>
      <c r="B10">
        <v>2</v>
      </c>
      <c r="C10" t="s">
        <v>897</v>
      </c>
      <c r="D10" t="s">
        <v>895</v>
      </c>
      <c r="E10" s="16">
        <f t="shared" si="0"/>
        <v>16.666666666666668</v>
      </c>
      <c r="F10" t="s">
        <v>914</v>
      </c>
      <c r="G10" s="4" t="s">
        <v>928</v>
      </c>
      <c r="H10" s="4" t="s">
        <v>1017</v>
      </c>
      <c r="I10" t="s">
        <v>1016</v>
      </c>
      <c r="J10" s="4" t="str">
        <f t="shared" si="1"/>
        <v>Investment Climate :: Capital market development</v>
      </c>
      <c r="K10" s="4" t="str">
        <f t="shared" si="2"/>
        <v xml:space="preserve">          Capital market development</v>
      </c>
      <c r="L10" t="s">
        <v>989</v>
      </c>
      <c r="M10" t="s">
        <v>990</v>
      </c>
      <c r="N10" t="s">
        <v>991</v>
      </c>
      <c r="O10" t="s">
        <v>992</v>
      </c>
      <c r="P10" t="s">
        <v>993</v>
      </c>
      <c r="Q10" t="s">
        <v>957</v>
      </c>
    </row>
    <row r="11" spans="1:17">
      <c r="A11">
        <v>10</v>
      </c>
      <c r="B11">
        <v>2</v>
      </c>
      <c r="C11" t="s">
        <v>898</v>
      </c>
      <c r="D11" t="s">
        <v>895</v>
      </c>
      <c r="E11" s="16">
        <f t="shared" si="0"/>
        <v>16.666666666666668</v>
      </c>
      <c r="F11" t="s">
        <v>915</v>
      </c>
      <c r="G11" s="4" t="s">
        <v>928</v>
      </c>
      <c r="H11" s="4" t="s">
        <v>1018</v>
      </c>
      <c r="I11" t="s">
        <v>1019</v>
      </c>
      <c r="J11" s="4" t="str">
        <f t="shared" si="1"/>
        <v>Investment Climate :: Judicial system</v>
      </c>
      <c r="K11" s="4" t="str">
        <f t="shared" si="2"/>
        <v xml:space="preserve">          Judicial system</v>
      </c>
      <c r="L11" t="s">
        <v>994</v>
      </c>
      <c r="M11" t="s">
        <v>995</v>
      </c>
      <c r="N11" t="s">
        <v>1008</v>
      </c>
      <c r="O11" t="s">
        <v>996</v>
      </c>
      <c r="P11" t="s">
        <v>1049</v>
      </c>
      <c r="Q11" t="s">
        <v>958</v>
      </c>
    </row>
    <row r="12" spans="1:17">
      <c r="A12">
        <v>11</v>
      </c>
      <c r="B12">
        <v>2</v>
      </c>
      <c r="C12" t="s">
        <v>899</v>
      </c>
      <c r="D12" t="s">
        <v>895</v>
      </c>
      <c r="E12" s="16">
        <f t="shared" si="0"/>
        <v>16.666666666666668</v>
      </c>
      <c r="F12" t="s">
        <v>916</v>
      </c>
      <c r="G12" s="4" t="s">
        <v>928</v>
      </c>
      <c r="H12" s="4" t="s">
        <v>1020</v>
      </c>
      <c r="I12" s="4" t="s">
        <v>1027</v>
      </c>
      <c r="J12" s="4" t="str">
        <f t="shared" si="1"/>
        <v>Investment Climate :: Accounting standards</v>
      </c>
      <c r="K12" s="4" t="str">
        <f t="shared" si="2"/>
        <v xml:space="preserve">          Accounting standards</v>
      </c>
      <c r="L12" t="s">
        <v>1036</v>
      </c>
      <c r="M12" s="4" t="s">
        <v>1067</v>
      </c>
      <c r="N12" t="s">
        <v>1041</v>
      </c>
      <c r="O12" t="s">
        <v>1045</v>
      </c>
      <c r="P12" t="s">
        <v>997</v>
      </c>
      <c r="Q12" t="s">
        <v>959</v>
      </c>
    </row>
    <row r="13" spans="1:17">
      <c r="A13">
        <v>12</v>
      </c>
      <c r="B13">
        <v>2</v>
      </c>
      <c r="C13" t="s">
        <v>900</v>
      </c>
      <c r="D13" t="s">
        <v>895</v>
      </c>
      <c r="E13" s="16">
        <f t="shared" si="0"/>
        <v>16.666666666666668</v>
      </c>
      <c r="F13" t="s">
        <v>917</v>
      </c>
      <c r="G13" s="4" t="s">
        <v>928</v>
      </c>
      <c r="H13" s="4" t="s">
        <v>1021</v>
      </c>
      <c r="I13" s="4" t="s">
        <v>1027</v>
      </c>
      <c r="J13" s="4" t="str">
        <f t="shared" si="1"/>
        <v>Investment Climate :: Governance standards</v>
      </c>
      <c r="K13" s="4" t="str">
        <f t="shared" si="2"/>
        <v xml:space="preserve">          Governance standards</v>
      </c>
      <c r="L13" t="s">
        <v>1037</v>
      </c>
      <c r="M13" t="s">
        <v>1039</v>
      </c>
      <c r="N13" t="s">
        <v>1042</v>
      </c>
      <c r="O13" t="s">
        <v>1046</v>
      </c>
      <c r="P13" t="s">
        <v>998</v>
      </c>
      <c r="Q13" t="s">
        <v>960</v>
      </c>
    </row>
    <row r="14" spans="1:17">
      <c r="A14">
        <v>13</v>
      </c>
      <c r="B14">
        <v>2</v>
      </c>
      <c r="C14" t="s">
        <v>901</v>
      </c>
      <c r="D14" t="s">
        <v>895</v>
      </c>
      <c r="E14" s="16">
        <f t="shared" si="0"/>
        <v>16.666666666666668</v>
      </c>
      <c r="F14" t="s">
        <v>918</v>
      </c>
      <c r="G14" s="4" t="s">
        <v>928</v>
      </c>
      <c r="H14" s="4" t="s">
        <v>1022</v>
      </c>
      <c r="I14" s="4" t="s">
        <v>1027</v>
      </c>
      <c r="J14" s="4" t="str">
        <f t="shared" si="1"/>
        <v>Investment Climate :: MFI transparency</v>
      </c>
      <c r="K14" s="4" t="str">
        <f t="shared" si="2"/>
        <v xml:space="preserve">          MFI transparency</v>
      </c>
      <c r="L14" t="s">
        <v>999</v>
      </c>
      <c r="M14" t="s">
        <v>1000</v>
      </c>
      <c r="N14" t="s">
        <v>1043</v>
      </c>
      <c r="O14" t="s">
        <v>1001</v>
      </c>
      <c r="P14" t="s">
        <v>1002</v>
      </c>
      <c r="Q14" t="s">
        <v>961</v>
      </c>
    </row>
    <row r="15" spans="1:17" s="15" customFormat="1">
      <c r="A15" s="15">
        <v>14</v>
      </c>
      <c r="B15" s="15">
        <v>1</v>
      </c>
      <c r="C15" s="15" t="s">
        <v>902</v>
      </c>
      <c r="D15" s="15" t="s">
        <v>906</v>
      </c>
      <c r="E15" s="16">
        <f t="shared" si="0"/>
        <v>33.333333333333336</v>
      </c>
      <c r="F15" s="15" t="s">
        <v>919</v>
      </c>
      <c r="G15" s="15" t="s">
        <v>927</v>
      </c>
      <c r="H15" s="15" t="s">
        <v>926</v>
      </c>
      <c r="J15" s="15" t="str">
        <f t="shared" si="1"/>
        <v>Institutional Development</v>
      </c>
      <c r="K15" s="15" t="str">
        <f t="shared" si="2"/>
        <v xml:space="preserve">     Institutional Development</v>
      </c>
      <c r="Q15" s="15" t="s">
        <v>955</v>
      </c>
    </row>
    <row r="16" spans="1:17">
      <c r="A16">
        <v>15</v>
      </c>
      <c r="B16">
        <v>2</v>
      </c>
      <c r="C16" t="s">
        <v>903</v>
      </c>
      <c r="D16" t="s">
        <v>902</v>
      </c>
      <c r="E16" s="16">
        <f t="shared" si="0"/>
        <v>33.333333333333336</v>
      </c>
      <c r="F16" t="s">
        <v>920</v>
      </c>
      <c r="G16" s="4" t="s">
        <v>928</v>
      </c>
      <c r="H16" s="4" t="s">
        <v>1023</v>
      </c>
      <c r="I16" s="4" t="s">
        <v>1024</v>
      </c>
      <c r="J16" s="4" t="str">
        <f t="shared" si="1"/>
        <v>Institutional Development :: Range of MFI Services</v>
      </c>
      <c r="K16" s="4" t="str">
        <f t="shared" si="2"/>
        <v xml:space="preserve">          Range of MFI Services</v>
      </c>
      <c r="L16" t="s">
        <v>1038</v>
      </c>
      <c r="M16" t="s">
        <v>1040</v>
      </c>
      <c r="N16" t="s">
        <v>1044</v>
      </c>
      <c r="O16" t="s">
        <v>1047</v>
      </c>
      <c r="P16" t="s">
        <v>1003</v>
      </c>
      <c r="Q16" t="s">
        <v>962</v>
      </c>
    </row>
    <row r="17" spans="1:17">
      <c r="A17">
        <v>16</v>
      </c>
      <c r="B17">
        <v>2</v>
      </c>
      <c r="C17" t="s">
        <v>904</v>
      </c>
      <c r="D17" t="s">
        <v>902</v>
      </c>
      <c r="E17" s="16">
        <f t="shared" si="0"/>
        <v>33.333333333333336</v>
      </c>
      <c r="F17" t="s">
        <v>921</v>
      </c>
      <c r="G17" s="4" t="s">
        <v>928</v>
      </c>
      <c r="H17" s="4" t="s">
        <v>1025</v>
      </c>
      <c r="I17" s="4" t="s">
        <v>1027</v>
      </c>
      <c r="J17" s="4" t="str">
        <f t="shared" si="1"/>
        <v>Institutional Development :: Credit bureaus</v>
      </c>
      <c r="K17" s="4" t="str">
        <f t="shared" si="2"/>
        <v xml:space="preserve">          Credit bureaus</v>
      </c>
      <c r="L17" t="s">
        <v>1004</v>
      </c>
      <c r="M17" t="s">
        <v>1005</v>
      </c>
      <c r="N17" t="s">
        <v>1006</v>
      </c>
      <c r="O17" t="s">
        <v>1007</v>
      </c>
      <c r="P17" t="s">
        <v>1050</v>
      </c>
      <c r="Q17" t="s">
        <v>963</v>
      </c>
    </row>
    <row r="18" spans="1:17">
      <c r="A18">
        <v>17</v>
      </c>
      <c r="B18">
        <v>2</v>
      </c>
      <c r="C18" t="s">
        <v>905</v>
      </c>
      <c r="D18" t="s">
        <v>902</v>
      </c>
      <c r="E18" s="16">
        <f t="shared" si="0"/>
        <v>33.333333333333336</v>
      </c>
      <c r="F18" t="s">
        <v>922</v>
      </c>
      <c r="G18" s="4" t="s">
        <v>928</v>
      </c>
      <c r="H18" s="4" t="s">
        <v>1026</v>
      </c>
      <c r="I18" s="4" t="s">
        <v>1027</v>
      </c>
      <c r="J18" s="4" t="str">
        <f t="shared" si="1"/>
        <v>Institutional Development :: Level of competition</v>
      </c>
      <c r="K18" s="4" t="str">
        <f t="shared" si="2"/>
        <v xml:space="preserve">          Level of competition</v>
      </c>
      <c r="L18" t="s">
        <v>1174</v>
      </c>
      <c r="M18" t="s">
        <v>1175</v>
      </c>
      <c r="N18" t="s">
        <v>1176</v>
      </c>
      <c r="O18" t="s">
        <v>1177</v>
      </c>
      <c r="P18" t="s">
        <v>1178</v>
      </c>
      <c r="Q18" t="s">
        <v>964</v>
      </c>
    </row>
    <row r="19" spans="1:17" s="5" customFormat="1">
      <c r="A19" s="5">
        <v>18</v>
      </c>
      <c r="B19" s="5">
        <v>4</v>
      </c>
      <c r="C19" s="17" t="s">
        <v>934</v>
      </c>
      <c r="F19" s="5" t="s">
        <v>936</v>
      </c>
      <c r="G19" s="7" t="s">
        <v>938</v>
      </c>
      <c r="J19" s="7"/>
      <c r="K19" s="7" t="str">
        <f>F19</f>
        <v>MFI clients as % of population</v>
      </c>
      <c r="L19" s="7"/>
    </row>
    <row r="20" spans="1:17" s="5" customFormat="1">
      <c r="A20" s="5">
        <v>19</v>
      </c>
      <c r="B20" s="5">
        <v>4</v>
      </c>
      <c r="C20" s="17" t="s">
        <v>935</v>
      </c>
      <c r="F20" s="5" t="s">
        <v>937</v>
      </c>
      <c r="G20" s="7" t="s">
        <v>939</v>
      </c>
      <c r="J20" s="7"/>
      <c r="K20" s="7" t="str">
        <f>F20</f>
        <v>MFI clients as % of microenterprises</v>
      </c>
      <c r="L20" s="7"/>
    </row>
  </sheetData>
  <phoneticPr fontId="1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28">
    <pageSetUpPr fitToPage="1"/>
  </sheetPr>
  <dimension ref="A1:K30"/>
  <sheetViews>
    <sheetView showGridLines="0" showRowColHeaders="0" tabSelected="1" workbookViewId="0">
      <selection activeCell="B29" sqref="B29"/>
    </sheetView>
  </sheetViews>
  <sheetFormatPr defaultRowHeight="12.75"/>
  <cols>
    <col min="1" max="1" width="5.7109375" style="198" customWidth="1"/>
    <col min="2" max="10" width="9.140625" style="198"/>
    <col min="11" max="11" width="16.85546875" style="198" customWidth="1"/>
    <col min="12" max="16384" width="9.140625" style="198"/>
  </cols>
  <sheetData>
    <row r="1" spans="1:11" ht="6.75" customHeight="1"/>
    <row r="2" spans="1:11" ht="27.75" customHeight="1">
      <c r="A2" s="199"/>
      <c r="B2" s="199"/>
      <c r="C2" s="199"/>
      <c r="D2" s="199"/>
      <c r="E2" s="199"/>
      <c r="F2" s="199"/>
      <c r="G2" s="199"/>
      <c r="H2" s="199"/>
      <c r="I2" s="199"/>
      <c r="J2" s="199"/>
      <c r="K2" s="199"/>
    </row>
    <row r="10" spans="1:11">
      <c r="C10" s="200"/>
      <c r="D10" s="200"/>
      <c r="E10" s="200"/>
      <c r="F10" s="200"/>
      <c r="G10" s="200"/>
      <c r="H10" s="200"/>
      <c r="I10" s="200"/>
    </row>
    <row r="11" spans="1:11">
      <c r="C11" s="200"/>
      <c r="D11" s="200"/>
      <c r="E11" s="200"/>
      <c r="F11" s="200"/>
      <c r="G11" s="200"/>
      <c r="H11" s="200"/>
      <c r="I11" s="200"/>
    </row>
    <row r="12" spans="1:11">
      <c r="C12" s="200"/>
      <c r="D12" s="200"/>
      <c r="E12" s="200"/>
      <c r="F12" s="200"/>
      <c r="G12" s="200"/>
      <c r="H12" s="200"/>
      <c r="I12" s="200"/>
    </row>
    <row r="13" spans="1:11">
      <c r="C13" s="200"/>
      <c r="D13" s="200"/>
      <c r="E13" s="200"/>
      <c r="F13" s="200"/>
      <c r="G13" s="200"/>
      <c r="H13" s="200"/>
      <c r="I13" s="200"/>
    </row>
    <row r="14" spans="1:11" ht="15.75">
      <c r="C14" s="215"/>
      <c r="D14" s="215"/>
      <c r="E14" s="215"/>
      <c r="F14" s="216"/>
      <c r="G14" s="216"/>
      <c r="H14" s="217"/>
      <c r="I14" s="217"/>
      <c r="J14" s="201"/>
    </row>
    <row r="15" spans="1:11">
      <c r="C15" s="200"/>
      <c r="D15" s="200"/>
      <c r="E15" s="200"/>
      <c r="F15" s="200"/>
      <c r="G15" s="200"/>
      <c r="H15" s="200"/>
      <c r="I15" s="200"/>
    </row>
    <row r="16" spans="1:11">
      <c r="C16" s="200"/>
      <c r="D16" s="200"/>
      <c r="E16" s="200"/>
      <c r="F16" s="200"/>
      <c r="G16" s="200"/>
      <c r="H16" s="200"/>
      <c r="I16" s="200"/>
    </row>
    <row r="17" spans="3:9">
      <c r="C17" s="200"/>
      <c r="D17" s="200"/>
      <c r="E17" s="200"/>
      <c r="F17" s="200"/>
      <c r="G17" s="200"/>
      <c r="H17" s="200"/>
      <c r="I17" s="200"/>
    </row>
    <row r="18" spans="3:9">
      <c r="C18" s="200"/>
      <c r="D18" s="200"/>
      <c r="E18" s="200"/>
      <c r="F18" s="200"/>
      <c r="G18" s="200"/>
      <c r="H18" s="200"/>
      <c r="I18" s="200"/>
    </row>
    <row r="19" spans="3:9">
      <c r="C19" s="200"/>
      <c r="D19" s="200"/>
      <c r="E19" s="200"/>
      <c r="F19" s="200"/>
      <c r="G19" s="200"/>
      <c r="H19" s="200"/>
      <c r="I19" s="200"/>
    </row>
    <row r="20" spans="3:9">
      <c r="C20" s="200"/>
      <c r="D20" s="200"/>
      <c r="E20" s="200"/>
      <c r="F20" s="200"/>
      <c r="G20" s="200"/>
      <c r="H20" s="200"/>
      <c r="I20" s="200"/>
    </row>
    <row r="21" spans="3:9">
      <c r="C21" s="202"/>
      <c r="D21" s="202"/>
      <c r="E21" s="202"/>
      <c r="F21" s="202"/>
      <c r="G21" s="202"/>
      <c r="H21" s="202"/>
      <c r="I21" s="202"/>
    </row>
    <row r="22" spans="3:9">
      <c r="C22" s="202"/>
      <c r="D22" s="202"/>
      <c r="E22" s="202"/>
      <c r="F22" s="202"/>
      <c r="G22" s="202"/>
      <c r="H22" s="202"/>
      <c r="I22" s="202"/>
    </row>
    <row r="23" spans="3:9">
      <c r="C23" s="202"/>
      <c r="D23" s="202"/>
      <c r="E23" s="202"/>
      <c r="F23" s="202"/>
      <c r="G23" s="202"/>
      <c r="H23" s="202"/>
      <c r="I23" s="202"/>
    </row>
    <row r="24" spans="3:9">
      <c r="C24" s="202"/>
      <c r="D24" s="202"/>
      <c r="E24" s="202"/>
      <c r="F24" s="202"/>
      <c r="G24" s="202"/>
      <c r="H24" s="202"/>
      <c r="I24" s="202"/>
    </row>
    <row r="25" spans="3:9">
      <c r="C25" s="202"/>
      <c r="D25" s="202"/>
      <c r="E25" s="202"/>
      <c r="F25" s="202"/>
      <c r="G25" s="202"/>
      <c r="H25" s="202"/>
      <c r="I25" s="202"/>
    </row>
    <row r="30" spans="3:9">
      <c r="H30" s="203"/>
    </row>
  </sheetData>
  <sheetProtection password="B7E9" sheet="1" objects="1" scenarios="1" selectLockedCells="1" selectUnlockedCells="1"/>
  <mergeCells count="3">
    <mergeCell ref="C14:E14"/>
    <mergeCell ref="F14:G14"/>
    <mergeCell ref="H14:I14"/>
  </mergeCells>
  <phoneticPr fontId="10" type="noConversion"/>
  <printOptions horizontalCentered="1" verticalCentered="1"/>
  <pageMargins left="0.74803149606299213" right="0.74803149606299213" top="0.78740157480314965" bottom="0.78740157480314965" header="0.51181102362204722" footer="0.51181102362204722"/>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dimension ref="A1"/>
  <sheetViews>
    <sheetView showGridLines="0" showRowColHeaders="0" workbookViewId="0">
      <selection activeCell="O7" sqref="O7"/>
    </sheetView>
  </sheetViews>
  <sheetFormatPr defaultRowHeight="12.75"/>
  <cols>
    <col min="1" max="16384" width="9.140625" style="204"/>
  </cols>
  <sheetData/>
  <sheetProtection password="B7E9" sheet="1" objects="1" scenarios="1" selectLockedCells="1" selectUnlockedCells="1"/>
  <phoneticPr fontId="68"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sheetPr codeName="Sheet26"/>
  <dimension ref="A1:BV27"/>
  <sheetViews>
    <sheetView zoomScale="70" zoomScaleNormal="70" workbookViewId="0">
      <selection activeCell="G7" sqref="G7"/>
    </sheetView>
  </sheetViews>
  <sheetFormatPr defaultRowHeight="12.75"/>
  <cols>
    <col min="1" max="1" width="11" customWidth="1"/>
    <col min="3" max="3" width="8.5703125" bestFit="1" customWidth="1"/>
    <col min="6" max="6" width="5.7109375" customWidth="1"/>
    <col min="9" max="10" width="4" customWidth="1"/>
    <col min="13" max="18" width="3.42578125" customWidth="1"/>
    <col min="20" max="32" width="4.140625" customWidth="1"/>
    <col min="34" max="60" width="5.7109375" customWidth="1"/>
    <col min="62" max="69" width="5.7109375" customWidth="1"/>
    <col min="70" max="70" width="3.42578125" customWidth="1"/>
    <col min="71" max="74" width="5.7109375" customWidth="1"/>
  </cols>
  <sheetData>
    <row r="1" spans="1:74">
      <c r="A1" s="118" t="s">
        <v>1183</v>
      </c>
      <c r="B1">
        <f ca="1">uxb_settings!B58</f>
        <v>2</v>
      </c>
    </row>
    <row r="2" spans="1:74">
      <c r="A2" s="118" t="s">
        <v>1188</v>
      </c>
      <c r="B2" t="str">
        <f ca="1">uxb_settings!B53</f>
        <v>AR</v>
      </c>
    </row>
    <row r="3" spans="1:74">
      <c r="A3" t="s">
        <v>1080</v>
      </c>
      <c r="B3">
        <v>1</v>
      </c>
    </row>
    <row r="4" spans="1:74">
      <c r="T4" t="s">
        <v>906</v>
      </c>
      <c r="AH4" t="s">
        <v>890</v>
      </c>
      <c r="AV4" t="s">
        <v>895</v>
      </c>
      <c r="BJ4" t="s">
        <v>902</v>
      </c>
    </row>
    <row r="5" spans="1:74">
      <c r="T5">
        <f ca="1">MATCH(T4,scores_2009!$C$3:$C$28,0)</f>
        <v>1</v>
      </c>
      <c r="AH5">
        <f ca="1">MATCH(AH4,scores_2009!$C$3:$C$28,0)</f>
        <v>2</v>
      </c>
      <c r="AV5">
        <f ca="1">MATCH(AV4,scores_2009!$C$3:$C$28,0)</f>
        <v>3</v>
      </c>
      <c r="BJ5">
        <f ca="1">MATCH(BJ4,scores_2009!$C$3:$C$28,0)</f>
        <v>4</v>
      </c>
    </row>
    <row r="6" spans="1:74" ht="15">
      <c r="A6" s="39" t="s">
        <v>1068</v>
      </c>
      <c r="B6" s="54" t="s">
        <v>727</v>
      </c>
      <c r="C6" s="54" t="s">
        <v>1069</v>
      </c>
      <c r="D6" s="55" t="s">
        <v>1070</v>
      </c>
      <c r="E6" s="54" t="s">
        <v>1071</v>
      </c>
      <c r="F6" s="39"/>
      <c r="G6" s="39" t="s">
        <v>1072</v>
      </c>
      <c r="H6" s="54" t="s">
        <v>947</v>
      </c>
      <c r="I6" s="54"/>
      <c r="J6" s="54"/>
      <c r="K6" s="54" t="s">
        <v>1073</v>
      </c>
      <c r="L6" s="54" t="s">
        <v>1074</v>
      </c>
      <c r="M6" s="54" t="s">
        <v>1073</v>
      </c>
      <c r="N6" s="54" t="s">
        <v>1075</v>
      </c>
      <c r="O6" s="54" t="s">
        <v>1076</v>
      </c>
      <c r="P6" s="55" t="s">
        <v>1070</v>
      </c>
      <c r="Q6" s="54" t="s">
        <v>947</v>
      </c>
      <c r="R6" s="54" t="s">
        <v>1077</v>
      </c>
      <c r="S6" s="60"/>
      <c r="T6" s="77" t="s">
        <v>1180</v>
      </c>
      <c r="U6" s="77" t="s">
        <v>1181</v>
      </c>
      <c r="V6" s="77" t="s">
        <v>1182</v>
      </c>
      <c r="W6" s="77" t="s">
        <v>1184</v>
      </c>
      <c r="X6" s="78" t="s">
        <v>1073</v>
      </c>
      <c r="Y6" s="78" t="s">
        <v>1074</v>
      </c>
      <c r="Z6" s="78" t="s">
        <v>1073</v>
      </c>
      <c r="AA6" s="79" t="s">
        <v>1075</v>
      </c>
      <c r="AB6" s="79" t="s">
        <v>1076</v>
      </c>
      <c r="AC6" s="79" t="s">
        <v>1070</v>
      </c>
      <c r="AD6" s="79" t="s">
        <v>947</v>
      </c>
      <c r="AE6" s="79"/>
      <c r="AF6" s="79"/>
      <c r="AH6" s="77" t="s">
        <v>1180</v>
      </c>
      <c r="AI6" s="77" t="s">
        <v>1181</v>
      </c>
      <c r="AJ6" s="77" t="s">
        <v>1182</v>
      </c>
      <c r="AK6" s="77" t="s">
        <v>1184</v>
      </c>
      <c r="AL6" s="78" t="s">
        <v>1073</v>
      </c>
      <c r="AM6" s="78" t="s">
        <v>1074</v>
      </c>
      <c r="AN6" s="78" t="s">
        <v>1073</v>
      </c>
      <c r="AO6" s="79" t="s">
        <v>1075</v>
      </c>
      <c r="AP6" s="79" t="s">
        <v>1076</v>
      </c>
      <c r="AQ6" s="79" t="s">
        <v>1070</v>
      </c>
      <c r="AR6" s="79" t="s">
        <v>947</v>
      </c>
      <c r="AS6" s="79"/>
      <c r="AT6" s="79"/>
      <c r="AV6" s="77" t="s">
        <v>1180</v>
      </c>
      <c r="AW6" s="77" t="s">
        <v>1181</v>
      </c>
      <c r="AX6" s="77" t="s">
        <v>1182</v>
      </c>
      <c r="AY6" s="77" t="s">
        <v>1184</v>
      </c>
      <c r="AZ6" s="78" t="s">
        <v>1073</v>
      </c>
      <c r="BA6" s="78" t="s">
        <v>1074</v>
      </c>
      <c r="BB6" s="78" t="s">
        <v>1073</v>
      </c>
      <c r="BC6" s="79" t="s">
        <v>1075</v>
      </c>
      <c r="BD6" s="79" t="s">
        <v>1076</v>
      </c>
      <c r="BE6" s="79" t="s">
        <v>1070</v>
      </c>
      <c r="BF6" s="79" t="s">
        <v>947</v>
      </c>
      <c r="BG6" s="79"/>
      <c r="BH6" s="79"/>
      <c r="BJ6" s="77" t="s">
        <v>1180</v>
      </c>
      <c r="BK6" s="77" t="s">
        <v>1181</v>
      </c>
      <c r="BL6" s="77" t="s">
        <v>1182</v>
      </c>
      <c r="BM6" s="77" t="s">
        <v>1184</v>
      </c>
      <c r="BN6" s="78" t="s">
        <v>1073</v>
      </c>
      <c r="BO6" s="78" t="s">
        <v>1074</v>
      </c>
      <c r="BP6" s="78" t="s">
        <v>1073</v>
      </c>
      <c r="BQ6" s="79" t="s">
        <v>1075</v>
      </c>
      <c r="BR6" s="79" t="s">
        <v>1076</v>
      </c>
      <c r="BS6" s="79" t="s">
        <v>1070</v>
      </c>
      <c r="BT6" s="79" t="s">
        <v>947</v>
      </c>
      <c r="BU6" s="79"/>
      <c r="BV6" s="79"/>
    </row>
    <row r="7" spans="1:74">
      <c r="A7">
        <v>1</v>
      </c>
      <c r="B7">
        <f ca="1">tblCountries!A74</f>
        <v>1</v>
      </c>
      <c r="C7" t="str">
        <f ca="1">tblCountries!B74</f>
        <v>AR</v>
      </c>
      <c r="D7" t="str">
        <f ca="1">tblCountries!C74</f>
        <v>Argentina</v>
      </c>
      <c r="E7" s="5">
        <v>2</v>
      </c>
      <c r="G7" s="5">
        <f>IF(C7=$B$2,3,2)</f>
        <v>3</v>
      </c>
      <c r="H7">
        <f ca="1">IF(G7=0,"",ROUND(INDEX(norm_data,$C$2,$B7),$B$3))</f>
        <v>0</v>
      </c>
      <c r="K7" s="56">
        <f>IF($G7=0,"",RANK(H7,H$7:H$26)+COUNTIF(H$7:H7,H7)-1)</f>
        <v>13</v>
      </c>
      <c r="L7" s="57">
        <f t="shared" ref="L7:L26" si="0">MATCH($A7,K$7:K$26,0)</f>
        <v>8</v>
      </c>
      <c r="M7" s="58">
        <v>1</v>
      </c>
      <c r="N7" s="57">
        <f t="shared" ref="N7:N26" si="1">IF(ISERROR(L7),0,INDEX($G$7:$G$26,$L7))</f>
        <v>2</v>
      </c>
      <c r="O7" s="59" t="str">
        <f>IF(N7=0,"",IF(OR(M7=M6,M7=M8),CONCATENATE("=",M7),M7))</f>
        <v>=1</v>
      </c>
      <c r="P7" t="str">
        <f t="shared" ref="P7:P26" si="2">IF(N7=0,"",INDEX($D$7:$D$26,$L7))</f>
        <v>Ecuador</v>
      </c>
      <c r="Q7" s="60">
        <f t="shared" ref="Q7:Q26" si="3">IF(N7=0,"",INDEX($H$7:$H$26,$L7))</f>
        <v>3</v>
      </c>
      <c r="S7" s="60"/>
      <c r="T7">
        <f t="shared" ref="T7:T26" ca="1" si="4">IF($G7=0,"",ROUND(INDEX(norm_data,T$5,$B7),$B$3))</f>
        <v>30.8</v>
      </c>
      <c r="U7">
        <f t="shared" ref="U7:U26" ca="1" si="5">IF($G7=0,"",ROUND(INDEX(norm_data2008,T$5,$B7),$B$3))</f>
        <v>28.5</v>
      </c>
      <c r="V7">
        <f>T7-U7</f>
        <v>2.3000000000000007</v>
      </c>
      <c r="W7">
        <f>IF($B$1=1,ROUND(T7,1),ROUND(V7,1))</f>
        <v>2.2999999999999998</v>
      </c>
      <c r="X7" s="56">
        <f>IF($G7=0,"",RANK(W7,W$7:W$26)+COUNTIF(W$7:W7,W7)-1)</f>
        <v>6</v>
      </c>
      <c r="Y7" s="57">
        <f t="shared" ref="Y7:Y26" si="6">MATCH($A7,X$7:X$26,0)</f>
        <v>4</v>
      </c>
      <c r="Z7" s="58">
        <v>1</v>
      </c>
      <c r="AA7" s="57">
        <f t="shared" ref="AA7:AA26" si="7">IF(ISERROR(Y7),0,INDEX($G$7:$G$26,Y7))</f>
        <v>2</v>
      </c>
      <c r="AB7" s="59">
        <f>IF(AA7=0,"",IF(OR(Z7=Z6,Z7=Z8),CONCATENATE("=",Z7),Z7))</f>
        <v>1</v>
      </c>
      <c r="AC7" t="str">
        <f t="shared" ref="AC7:AC26" si="8">IF(AA7=0,"",INDEX($D$7:$D$26,Y7))</f>
        <v>Chile</v>
      </c>
      <c r="AD7" s="60">
        <f t="shared" ref="AD7:AD26" si="9">IF(AA7=0,"",INDEX(T$7:T$26,Y7))</f>
        <v>48</v>
      </c>
      <c r="AE7" s="60">
        <f>IF(AA7=0,"",INDEX(V$7:V$26,Y7))</f>
        <v>4.7999999999999972</v>
      </c>
      <c r="AF7" s="60" t="str">
        <f>IF(ROUND(AE7,1)=0,"-",IF(AE7&gt;0,CONCATENATE("+",ROUND(AE7,1)),ROUND(AE7,1)))</f>
        <v>+4.8</v>
      </c>
      <c r="AH7">
        <f t="shared" ref="AH7:AH26" ca="1" si="10">IF($G7=0,"",ROUND(INDEX(norm_data,AH$5,$B7),$B$3))</f>
        <v>25</v>
      </c>
      <c r="AI7">
        <f t="shared" ref="AI7:AI26" ca="1" si="11">IF($G7=0,"",ROUND(INDEX(norm_data2008,AH$5,$B7),$B$3))</f>
        <v>18.8</v>
      </c>
      <c r="AJ7">
        <f>AH7-AI7</f>
        <v>6.1999999999999993</v>
      </c>
      <c r="AK7">
        <f>IF($B$1=1,ROUND(AH7,1),ROUND(AJ7,1))</f>
        <v>6.2</v>
      </c>
      <c r="AL7" s="56">
        <f>IF($G7=0,"",RANK(AK7,AK$7:AK$26)+COUNTIF(AK$7:AK7,AK7)-1)</f>
        <v>3</v>
      </c>
      <c r="AM7" s="57">
        <f t="shared" ref="AM7:AM26" si="12">MATCH($A7,AL$7:AL$26,0)</f>
        <v>4</v>
      </c>
      <c r="AN7" s="58">
        <v>1</v>
      </c>
      <c r="AO7" s="57">
        <f t="shared" ref="AO7:AO26" si="13">IF(ISERROR(AM7),0,INDEX($G$7:$G$26,AM7))</f>
        <v>2</v>
      </c>
      <c r="AP7" s="59">
        <f>IF(AO7=0,"",IF(OR(AN7=AN6,AN7=AN8),CONCATENATE("=",AN7),AN7))</f>
        <v>1</v>
      </c>
      <c r="AQ7" t="str">
        <f t="shared" ref="AQ7:AQ26" si="14">IF(AO7=0,"",INDEX($D$7:$D$26,AM7))</f>
        <v>Chile</v>
      </c>
      <c r="AR7" s="60">
        <f t="shared" ref="AR7:AR26" si="15">IF(AO7=0,"",INDEX(AH$7:AH$26,AM7))</f>
        <v>50</v>
      </c>
      <c r="AS7" s="60">
        <f>IF(AO7=0,"",INDEX(AJ$7:AJ$26,AM7))</f>
        <v>12.5</v>
      </c>
      <c r="AT7" s="60" t="str">
        <f>IF(ROUND(AS7,1)=0,"-",IF(AS7&gt;0,CONCATENATE("+",ROUND(AS7,1)),ROUND(AS7,1)))</f>
        <v>+12.5</v>
      </c>
      <c r="AU7" s="60"/>
      <c r="AV7">
        <f t="shared" ref="AV7:AV26" ca="1" si="16">IF($G7=0,"",ROUND(INDEX(norm_data,AV$5,$B7),$B$3))</f>
        <v>37.5</v>
      </c>
      <c r="AW7">
        <f t="shared" ref="AW7:AW26" ca="1" si="17">IF($G7=0,"",ROUND(INDEX(norm_data2008,AV$5,$B7),$B$3))</f>
        <v>38.299999999999997</v>
      </c>
      <c r="AX7">
        <f>AV7-AW7</f>
        <v>-0.79999999999999716</v>
      </c>
      <c r="AY7">
        <f>IF($B$1=1,ROUND(AV7,1),ROUND(AX7,1))</f>
        <v>-0.8</v>
      </c>
      <c r="AZ7" s="56">
        <f>IF($G7=0,"",RANK(AY7,AY$7:AY$26)+COUNTIF(AY$7:AY7,AY7)-1)</f>
        <v>8</v>
      </c>
      <c r="BA7" s="57">
        <f t="shared" ref="BA7:BA26" si="18">MATCH($A7,AZ$7:AZ$26,0)</f>
        <v>15</v>
      </c>
      <c r="BB7" s="58">
        <v>1</v>
      </c>
      <c r="BC7" s="57">
        <f t="shared" ref="BC7:BC26" si="19">IF(ISERROR(BA7),0,INDEX($G$7:$G$26,BA7))</f>
        <v>2</v>
      </c>
      <c r="BD7" s="59">
        <f>IF(BC7=0,"",IF(OR(BB7=BB6,BB7=BB8),CONCATENATE("=",BB7),BB7))</f>
        <v>1</v>
      </c>
      <c r="BE7" t="str">
        <f t="shared" ref="BE7:BE26" si="20">IF(BC7=0,"",INDEX($D$7:$D$26,BA7))</f>
        <v>Nicaragua</v>
      </c>
      <c r="BF7" s="60">
        <f t="shared" ref="BF7:BF26" si="21">IF(BC7=0,"",INDEX(AV$7:AV$26,BA7))</f>
        <v>47.5</v>
      </c>
      <c r="BG7" s="60">
        <f>IF(BC7=0,"",INDEX(AX$7:AX$26,BA7))</f>
        <v>3.2999999999999972</v>
      </c>
      <c r="BH7" s="60" t="str">
        <f>IF(ROUND(BG7,1)=0,"-",IF(BG7&gt;0,CONCATENATE("+",ROUND(BG7,1)),ROUND(BG7,1)))</f>
        <v>+3.3</v>
      </c>
      <c r="BJ7">
        <f t="shared" ref="BJ7:BJ26" ca="1" si="22">IF($G7=0,"",ROUND(INDEX(norm_data,BJ$5,$B7),$B$3))</f>
        <v>33.299999999999997</v>
      </c>
      <c r="BK7">
        <f t="shared" ref="BK7:BK26" ca="1" si="23">IF($G7=0,"",ROUND(INDEX(norm_data2008,BJ$5,$B7),$B$3))</f>
        <v>33.299999999999997</v>
      </c>
      <c r="BL7">
        <f>BJ7-BK7</f>
        <v>0</v>
      </c>
      <c r="BM7">
        <f>IF($B$1=1,ROUND(BJ7,1),ROUND(BL7,1))</f>
        <v>0</v>
      </c>
      <c r="BN7" s="56">
        <f>IF($G7=0,"",RANK(BM7,BM$7:BM$26)+COUNTIF(BM$7:BM7,BM7)-1)</f>
        <v>5</v>
      </c>
      <c r="BO7" s="57">
        <f t="shared" ref="BO7:BO26" si="24">MATCH($A7,BN$7:BN$26,0)</f>
        <v>16</v>
      </c>
      <c r="BP7" s="58">
        <v>1</v>
      </c>
      <c r="BQ7" s="57">
        <f t="shared" ref="BQ7:BQ26" si="25">IF(ISERROR(BO7),0,INDEX($G$7:$G$26,BO7))</f>
        <v>2</v>
      </c>
      <c r="BR7" s="59">
        <f>IF(BQ7=0,"",IF(OR(BP7=BP6,BP7=BP8),CONCATENATE("=",BP7),BP7))</f>
        <v>1</v>
      </c>
      <c r="BS7" t="str">
        <f t="shared" ref="BS7:BS26" si="26">IF(BQ7=0,"",INDEX($D$7:$D$26,BO7))</f>
        <v>Panama</v>
      </c>
      <c r="BT7" s="60">
        <f t="shared" ref="BT7:BT26" si="27">IF(BQ7=0,"",INDEX(BJ$7:BJ$26,BO7))</f>
        <v>41.7</v>
      </c>
      <c r="BU7" s="60">
        <f>IF(BQ7=0,"",INDEX(BL$7:BL$26,BO7))</f>
        <v>8.4000000000000057</v>
      </c>
      <c r="BV7" s="60" t="str">
        <f>IF(ROUND(BU7,1)=0,"-",IF(BU7&gt;0,CONCATENATE("+",ROUND(BU7,1)),ROUND(BU7,1)))</f>
        <v>+8.4</v>
      </c>
    </row>
    <row r="8" spans="1:74">
      <c r="A8">
        <v>2</v>
      </c>
      <c r="B8">
        <f ca="1">tblCountries!A75</f>
        <v>5</v>
      </c>
      <c r="C8" t="str">
        <f ca="1">tblCountries!B75</f>
        <v>BO</v>
      </c>
      <c r="D8" t="str">
        <f ca="1">tblCountries!C75</f>
        <v>Bolivia</v>
      </c>
      <c r="E8" s="5">
        <v>2</v>
      </c>
      <c r="G8" s="5">
        <f t="shared" ref="G8:G26" si="28">IF(C8=$B$2,3,2)</f>
        <v>2</v>
      </c>
      <c r="H8">
        <f t="shared" ref="H8:H26" ca="1" si="29">IF(G8=0,"",ROUND(INDEX(norm_data,$C$2,$B8),$B$3))</f>
        <v>0</v>
      </c>
      <c r="K8" s="56">
        <f>IF($G8=0,"",RANK(H8,H$7:H$26)+COUNTIF(H$7:H8,H8)-1)</f>
        <v>14</v>
      </c>
      <c r="L8" s="57">
        <f t="shared" si="0"/>
        <v>14</v>
      </c>
      <c r="M8" s="57">
        <f>IF(ISERROR(L8),"",IF(ROUND(Q8,$B$3)=ROUND(Q7,$B$3),M7,$A8))</f>
        <v>1</v>
      </c>
      <c r="N8" s="57">
        <f t="shared" si="1"/>
        <v>2</v>
      </c>
      <c r="O8" s="59" t="str">
        <f>IF(N8=0,"",IF(OR(M8=M7,M8=M9),CONCATENATE("=",M8),M8))</f>
        <v>=1</v>
      </c>
      <c r="P8" t="str">
        <f t="shared" si="2"/>
        <v>Mexico</v>
      </c>
      <c r="Q8" s="60">
        <f t="shared" si="3"/>
        <v>3</v>
      </c>
      <c r="S8" s="60"/>
      <c r="T8">
        <f t="shared" ca="1" si="4"/>
        <v>71.7</v>
      </c>
      <c r="U8">
        <f t="shared" ca="1" si="5"/>
        <v>74.400000000000006</v>
      </c>
      <c r="V8">
        <f t="shared" ref="V8:V26" si="30">T8-U8</f>
        <v>-2.7000000000000028</v>
      </c>
      <c r="W8">
        <f t="shared" ref="W8:W26" si="31">IF($B$1=1,ROUND(T8,1),ROUND(V8,1))</f>
        <v>-2.7</v>
      </c>
      <c r="X8" s="56">
        <f>IF($G8=0,"",RANK(W8,W$7:W$26)+COUNTIF(W$7:W8,W8)-1)</f>
        <v>18</v>
      </c>
      <c r="Y8" s="57">
        <f t="shared" si="6"/>
        <v>16</v>
      </c>
      <c r="Z8" s="57">
        <f>IF(ISERROR(Y8),"",IF(ROUND(AD8,$B$3)=ROUND(AD7,$B$3),Z7,$A8))</f>
        <v>2</v>
      </c>
      <c r="AA8" s="57">
        <f t="shared" si="7"/>
        <v>2</v>
      </c>
      <c r="AB8" s="59">
        <f>IF(AA8=0,"",IF(OR(Z8=Z7,Z8=Z9),CONCATENATE("=",Z8),Z8))</f>
        <v>2</v>
      </c>
      <c r="AC8" t="str">
        <f t="shared" si="8"/>
        <v>Panama</v>
      </c>
      <c r="AD8" s="60">
        <f t="shared" si="9"/>
        <v>50.9</v>
      </c>
      <c r="AE8" s="60">
        <f t="shared" ref="AE8:AE26" si="32">IF(AA8=0,"",INDEX(V$7:V$26,Y8))</f>
        <v>3.3999999999999986</v>
      </c>
      <c r="AF8" s="60" t="str">
        <f t="shared" ref="AF8:AF26" si="33">IF(ROUND(AE8,1)=0,"-",IF(AE8&gt;0,CONCATENATE("+",ROUND(AE8,1)),ROUND(AE8,1)))</f>
        <v>+3.4</v>
      </c>
      <c r="AH8">
        <f t="shared" ca="1" si="10"/>
        <v>81.3</v>
      </c>
      <c r="AI8">
        <f t="shared" ca="1" si="11"/>
        <v>87.5</v>
      </c>
      <c r="AJ8">
        <f t="shared" ref="AJ8:AJ26" si="34">AH8-AI8</f>
        <v>-6.2000000000000028</v>
      </c>
      <c r="AK8">
        <f t="shared" ref="AK8:AK26" si="35">IF($B$1=1,ROUND(AH8,1),ROUND(AJ8,1))</f>
        <v>-6.2</v>
      </c>
      <c r="AL8" s="56">
        <f>IF($G8=0,"",RANK(AK8,AK$7:AK$26)+COUNTIF(AK$7:AK8,AK8)-1)</f>
        <v>17</v>
      </c>
      <c r="AM8" s="57">
        <f t="shared" si="12"/>
        <v>6</v>
      </c>
      <c r="AN8" s="57">
        <f>IF(ISERROR(AM8),"",IF(ROUND(AR8,$B$3)=ROUND(AR7,$B$3),AN7,$A8))</f>
        <v>2</v>
      </c>
      <c r="AO8" s="57">
        <f t="shared" si="13"/>
        <v>2</v>
      </c>
      <c r="AP8" s="59">
        <f>IF(AO8=0,"",IF(OR(AN8=AN7,AN8=AN9),CONCATENATE("=",AN8),AN8))</f>
        <v>2</v>
      </c>
      <c r="AQ8" t="str">
        <f t="shared" si="14"/>
        <v>Costa Rica</v>
      </c>
      <c r="AR8" s="60">
        <f t="shared" si="15"/>
        <v>43.8</v>
      </c>
      <c r="AS8" s="60">
        <f t="shared" ref="AS8:AS26" si="36">IF(AO8=0,"",INDEX(AJ$7:AJ$26,AM8))</f>
        <v>6.2999999999999972</v>
      </c>
      <c r="AT8" s="60" t="str">
        <f t="shared" ref="AT8:AT26" si="37">IF(ROUND(AS8,1)=0,"-",IF(AS8&gt;0,CONCATENATE("+",ROUND(AS8,1)),ROUND(AS8,1)))</f>
        <v>+6.3</v>
      </c>
      <c r="AU8" s="60"/>
      <c r="AV8">
        <f t="shared" ca="1" si="16"/>
        <v>46.1</v>
      </c>
      <c r="AW8">
        <f t="shared" ca="1" si="17"/>
        <v>46.9</v>
      </c>
      <c r="AX8">
        <f t="shared" ref="AX8:AX26" si="38">AV8-AW8</f>
        <v>-0.79999999999999716</v>
      </c>
      <c r="AY8">
        <f t="shared" ref="AY8:AY26" si="39">IF($B$1=1,ROUND(AV8,1),ROUND(AX8,1))</f>
        <v>-0.8</v>
      </c>
      <c r="AZ8" s="56">
        <f>IF($G8=0,"",RANK(AY8,AY$7:AY$26)+COUNTIF(AY$7:AY8,AY8)-1)</f>
        <v>9</v>
      </c>
      <c r="BA8" s="57">
        <f t="shared" si="18"/>
        <v>10</v>
      </c>
      <c r="BB8" s="57">
        <f>IF(ISERROR(BA8),"",IF(ROUND(BF8,$B$3)=ROUND(BF7,$B$3),BB7,$A8))</f>
        <v>2</v>
      </c>
      <c r="BC8" s="57">
        <f t="shared" si="19"/>
        <v>2</v>
      </c>
      <c r="BD8" s="59">
        <f>IF(BC8=0,"",IF(OR(BB8=BB7,BB8=BB9),CONCATENATE("=",BB8),BB8))</f>
        <v>2</v>
      </c>
      <c r="BE8" t="str">
        <f t="shared" si="20"/>
        <v>Guatemala</v>
      </c>
      <c r="BF8" s="60">
        <f t="shared" si="21"/>
        <v>42.5</v>
      </c>
      <c r="BG8" s="60">
        <f t="shared" ref="BG8:BG26" si="40">IF(BC8=0,"",INDEX(AX$7:AX$26,BA8))</f>
        <v>1.7000000000000028</v>
      </c>
      <c r="BH8" s="60" t="str">
        <f t="shared" ref="BH8:BH26" si="41">IF(ROUND(BG8,1)=0,"-",IF(BG8&gt;0,CONCATENATE("+",ROUND(BG8,1)),ROUND(BG8,1)))</f>
        <v>+1.7</v>
      </c>
      <c r="BJ8">
        <f t="shared" ca="1" si="22"/>
        <v>75</v>
      </c>
      <c r="BK8">
        <f t="shared" ca="1" si="23"/>
        <v>75</v>
      </c>
      <c r="BL8">
        <f t="shared" ref="BL8:BL26" si="42">BJ8-BK8</f>
        <v>0</v>
      </c>
      <c r="BM8">
        <f t="shared" ref="BM8:BM26" si="43">IF($B$1=1,ROUND(BJ8,1),ROUND(BL8,1))</f>
        <v>0</v>
      </c>
      <c r="BN8" s="56">
        <f>IF($G8=0,"",RANK(BM8,BM$7:BM$26)+COUNTIF(BM$7:BM8,BM8)-1)</f>
        <v>6</v>
      </c>
      <c r="BO8" s="57">
        <f t="shared" si="24"/>
        <v>11</v>
      </c>
      <c r="BP8" s="57">
        <f>IF(ISERROR(BO8),"",IF(ROUND(BT8,$B$3)=ROUND(BT7,$B$3),BP7,$A8))</f>
        <v>2</v>
      </c>
      <c r="BQ8" s="57">
        <f t="shared" si="25"/>
        <v>2</v>
      </c>
      <c r="BR8" s="59">
        <f>IF(BQ8=0,"",IF(OR(BP8=BP7,BP8=BP9),CONCATENATE("=",BP8),BP8))</f>
        <v>2</v>
      </c>
      <c r="BS8" t="str">
        <f t="shared" si="26"/>
        <v>Haiti</v>
      </c>
      <c r="BT8" s="60">
        <f t="shared" si="27"/>
        <v>25</v>
      </c>
      <c r="BU8" s="60">
        <f t="shared" ref="BU8:BU26" si="44">IF(BQ8=0,"",INDEX(BL$7:BL$26,BO8))</f>
        <v>8.3000000000000007</v>
      </c>
      <c r="BV8" s="60" t="str">
        <f t="shared" ref="BV8:BV26" si="45">IF(ROUND(BU8,1)=0,"-",IF(BU8&gt;0,CONCATENATE("+",ROUND(BU8,1)),ROUND(BU8,1)))</f>
        <v>+8.3</v>
      </c>
    </row>
    <row r="9" spans="1:74">
      <c r="A9">
        <v>3</v>
      </c>
      <c r="B9">
        <f ca="1">tblCountries!A76</f>
        <v>7</v>
      </c>
      <c r="C9" t="str">
        <f ca="1">tblCountries!B76</f>
        <v>BR</v>
      </c>
      <c r="D9" t="str">
        <f ca="1">tblCountries!C76</f>
        <v>Brazil</v>
      </c>
      <c r="E9" s="5">
        <v>2</v>
      </c>
      <c r="G9" s="5">
        <f t="shared" si="28"/>
        <v>2</v>
      </c>
      <c r="H9">
        <f t="shared" ca="1" si="29"/>
        <v>0</v>
      </c>
      <c r="K9" s="56">
        <f>IF($G9=0,"",RANK(H9,H$7:H$26)+COUNTIF(H$7:H9,H9)-1)</f>
        <v>15</v>
      </c>
      <c r="L9" s="57">
        <f t="shared" si="0"/>
        <v>18</v>
      </c>
      <c r="M9" s="57">
        <f t="shared" ref="M9:M26" si="46">IF(ISERROR(L9),"",IF(ROUND(Q9,$B$3)=ROUND(Q8,$B$3),M8,$A9))</f>
        <v>1</v>
      </c>
      <c r="N9" s="57">
        <f t="shared" si="1"/>
        <v>2</v>
      </c>
      <c r="O9" s="59" t="str">
        <f t="shared" ref="O9:O25" si="47">IF(N9=0,"",IF(OR(M9=M8,M9=M10),CONCATENATE("=",M9),M9))</f>
        <v>=1</v>
      </c>
      <c r="P9" t="str">
        <f t="shared" si="2"/>
        <v>Peru</v>
      </c>
      <c r="Q9" s="60">
        <f t="shared" si="3"/>
        <v>3</v>
      </c>
      <c r="T9">
        <f t="shared" ca="1" si="4"/>
        <v>44</v>
      </c>
      <c r="U9">
        <f t="shared" ca="1" si="5"/>
        <v>41.6</v>
      </c>
      <c r="V9">
        <f t="shared" si="30"/>
        <v>2.3999999999999986</v>
      </c>
      <c r="W9">
        <f t="shared" si="31"/>
        <v>2.4</v>
      </c>
      <c r="X9" s="56">
        <f>IF($G9=0,"",RANK(W9,W$7:W$26)+COUNTIF(W$7:W9,W9)-1)</f>
        <v>5</v>
      </c>
      <c r="Y9" s="57">
        <f t="shared" si="6"/>
        <v>11</v>
      </c>
      <c r="Z9" s="57">
        <f t="shared" ref="Z9:Z26" si="48">IF(ISERROR(Y9),"",IF(ROUND(AD9,$B$3)=ROUND(AD8,$B$3),Z8,$A9))</f>
        <v>3</v>
      </c>
      <c r="AA9" s="57">
        <f t="shared" si="7"/>
        <v>2</v>
      </c>
      <c r="AB9" s="59">
        <f t="shared" ref="AB9:AB26" si="49">IF(AA9=0,"",IF(OR(Z9=Z8,Z9=Z10),CONCATENATE("=",Z9),Z9))</f>
        <v>3</v>
      </c>
      <c r="AC9" t="str">
        <f t="shared" si="8"/>
        <v>Haiti</v>
      </c>
      <c r="AD9" s="60">
        <f t="shared" si="9"/>
        <v>33.4</v>
      </c>
      <c r="AE9" s="60">
        <f t="shared" si="32"/>
        <v>3.1999999999999993</v>
      </c>
      <c r="AF9" s="60" t="str">
        <f t="shared" si="33"/>
        <v>+3.2</v>
      </c>
      <c r="AH9">
        <f t="shared" ca="1" si="10"/>
        <v>50</v>
      </c>
      <c r="AI9">
        <f t="shared" ca="1" si="11"/>
        <v>43.8</v>
      </c>
      <c r="AJ9">
        <f t="shared" si="34"/>
        <v>6.2000000000000028</v>
      </c>
      <c r="AK9">
        <f t="shared" si="35"/>
        <v>6.2</v>
      </c>
      <c r="AL9" s="56">
        <f>IF($G9=0,"",RANK(AK9,AK$7:AK$26)+COUNTIF(AK$7:AK9,AK9)-1)</f>
        <v>4</v>
      </c>
      <c r="AM9" s="57">
        <f t="shared" si="12"/>
        <v>1</v>
      </c>
      <c r="AN9" s="57">
        <f t="shared" ref="AN9:AN26" si="50">IF(ISERROR(AM9),"",IF(ROUND(AR9,$B$3)=ROUND(AR8,$B$3),AN8,$A9))</f>
        <v>3</v>
      </c>
      <c r="AO9" s="57">
        <f t="shared" si="13"/>
        <v>3</v>
      </c>
      <c r="AP9" s="59">
        <f t="shared" ref="AP9:AP26" si="51">IF(AO9=0,"",IF(OR(AN9=AN8,AN9=AN10),CONCATENATE("=",AN9),AN9))</f>
        <v>3</v>
      </c>
      <c r="AQ9" t="str">
        <f t="shared" si="14"/>
        <v>Argentina</v>
      </c>
      <c r="AR9" s="60">
        <f t="shared" si="15"/>
        <v>25</v>
      </c>
      <c r="AS9" s="60">
        <f t="shared" si="36"/>
        <v>6.1999999999999993</v>
      </c>
      <c r="AT9" s="60" t="str">
        <f t="shared" si="37"/>
        <v>+6.2</v>
      </c>
      <c r="AU9" s="60"/>
      <c r="AV9">
        <f t="shared" ca="1" si="16"/>
        <v>53.6</v>
      </c>
      <c r="AW9">
        <f t="shared" ca="1" si="17"/>
        <v>53.6</v>
      </c>
      <c r="AX9">
        <f t="shared" si="38"/>
        <v>0</v>
      </c>
      <c r="AY9">
        <f t="shared" si="39"/>
        <v>0</v>
      </c>
      <c r="AZ9" s="56">
        <f>IF($G9=0,"",RANK(AY9,AY$7:AY$26)+COUNTIF(AY$7:AY9,AY9)-1)</f>
        <v>3</v>
      </c>
      <c r="BA9" s="57">
        <f t="shared" si="18"/>
        <v>3</v>
      </c>
      <c r="BB9" s="57">
        <f t="shared" ref="BB9:BB26" si="52">IF(ISERROR(BA9),"",IF(ROUND(BF9,$B$3)=ROUND(BF8,$B$3),BB8,$A9))</f>
        <v>3</v>
      </c>
      <c r="BC9" s="57">
        <f t="shared" si="19"/>
        <v>2</v>
      </c>
      <c r="BD9" s="59">
        <f t="shared" ref="BD9:BD26" si="53">IF(BC9=0,"",IF(OR(BB9=BB8,BB9=BB10),CONCATENATE("=",BB9),BB9))</f>
        <v>3</v>
      </c>
      <c r="BE9" t="str">
        <f t="shared" si="20"/>
        <v>Brazil</v>
      </c>
      <c r="BF9" s="60">
        <f t="shared" si="21"/>
        <v>53.6</v>
      </c>
      <c r="BG9" s="60">
        <f t="shared" si="40"/>
        <v>0</v>
      </c>
      <c r="BH9" s="60" t="str">
        <f t="shared" si="41"/>
        <v>-</v>
      </c>
      <c r="BJ9">
        <f t="shared" ca="1" si="22"/>
        <v>33.299999999999997</v>
      </c>
      <c r="BK9">
        <f t="shared" ca="1" si="23"/>
        <v>33.299999999999997</v>
      </c>
      <c r="BL9">
        <f t="shared" si="42"/>
        <v>0</v>
      </c>
      <c r="BM9">
        <f t="shared" si="43"/>
        <v>0</v>
      </c>
      <c r="BN9" s="56">
        <f>IF($G9=0,"",RANK(BM9,BM$7:BM$26)+COUNTIF(BM$7:BM9,BM9)-1)</f>
        <v>7</v>
      </c>
      <c r="BO9" s="57">
        <f t="shared" si="24"/>
        <v>12</v>
      </c>
      <c r="BP9" s="57">
        <f t="shared" ref="BP9:BP26" si="54">IF(ISERROR(BO9),"",IF(ROUND(BT9,$B$3)=ROUND(BT8,$B$3),BP8,$A9))</f>
        <v>3</v>
      </c>
      <c r="BQ9" s="57">
        <f t="shared" si="25"/>
        <v>2</v>
      </c>
      <c r="BR9" s="59">
        <f t="shared" ref="BR9:BR26" si="55">IF(BQ9=0,"",IF(OR(BP9=BP8,BP9=BP10),CONCATENATE("=",BP9),BP9))</f>
        <v>3</v>
      </c>
      <c r="BS9" t="str">
        <f t="shared" si="26"/>
        <v>Honduras</v>
      </c>
      <c r="BT9" s="60">
        <f t="shared" si="27"/>
        <v>58.3</v>
      </c>
      <c r="BU9" s="60">
        <f t="shared" si="44"/>
        <v>8.2999999999999972</v>
      </c>
      <c r="BV9" s="60" t="str">
        <f t="shared" si="45"/>
        <v>+8.3</v>
      </c>
    </row>
    <row r="10" spans="1:74">
      <c r="A10">
        <v>4</v>
      </c>
      <c r="B10">
        <f ca="1">tblCountries!A77</f>
        <v>10</v>
      </c>
      <c r="C10" t="str">
        <f ca="1">tblCountries!B77</f>
        <v>CL</v>
      </c>
      <c r="D10" t="str">
        <f ca="1">tblCountries!C77</f>
        <v>Chile</v>
      </c>
      <c r="E10" s="5">
        <v>2</v>
      </c>
      <c r="G10" s="5">
        <f t="shared" si="28"/>
        <v>2</v>
      </c>
      <c r="H10">
        <f t="shared" ca="1" si="29"/>
        <v>0</v>
      </c>
      <c r="K10" s="56">
        <f>IF($G10=0,"",RANK(H10,H$7:H$26)+COUNTIF(H$7:H10,H10)-1)</f>
        <v>16</v>
      </c>
      <c r="L10" s="57">
        <f t="shared" si="0"/>
        <v>6</v>
      </c>
      <c r="M10" s="57">
        <f t="shared" si="46"/>
        <v>4</v>
      </c>
      <c r="N10" s="57">
        <f t="shared" si="1"/>
        <v>2</v>
      </c>
      <c r="O10" s="59" t="str">
        <f t="shared" si="47"/>
        <v>=4</v>
      </c>
      <c r="P10" t="str">
        <f t="shared" si="2"/>
        <v>Costa Rica</v>
      </c>
      <c r="Q10" s="60">
        <f t="shared" si="3"/>
        <v>2</v>
      </c>
      <c r="T10">
        <f t="shared" ca="1" si="4"/>
        <v>48</v>
      </c>
      <c r="U10">
        <f t="shared" ca="1" si="5"/>
        <v>43.2</v>
      </c>
      <c r="V10">
        <f t="shared" si="30"/>
        <v>4.7999999999999972</v>
      </c>
      <c r="W10">
        <f t="shared" si="31"/>
        <v>4.8</v>
      </c>
      <c r="X10" s="56">
        <f>IF($G10=0,"",RANK(W10,W$7:W$26)+COUNTIF(W$7:W10,W10)-1)</f>
        <v>1</v>
      </c>
      <c r="Y10" s="57">
        <f t="shared" si="6"/>
        <v>13</v>
      </c>
      <c r="Z10" s="57">
        <f t="shared" si="48"/>
        <v>4</v>
      </c>
      <c r="AA10" s="57">
        <f t="shared" si="7"/>
        <v>2</v>
      </c>
      <c r="AB10" s="59">
        <f t="shared" si="49"/>
        <v>4</v>
      </c>
      <c r="AC10" t="str">
        <f t="shared" si="8"/>
        <v>Jamaica</v>
      </c>
      <c r="AD10" s="60">
        <f t="shared" si="9"/>
        <v>23.7</v>
      </c>
      <c r="AE10" s="60">
        <f t="shared" si="32"/>
        <v>2.5</v>
      </c>
      <c r="AF10" s="60" t="str">
        <f t="shared" si="33"/>
        <v>+2.5</v>
      </c>
      <c r="AH10">
        <f t="shared" ca="1" si="10"/>
        <v>50</v>
      </c>
      <c r="AI10">
        <f t="shared" ca="1" si="11"/>
        <v>37.5</v>
      </c>
      <c r="AJ10">
        <f t="shared" si="34"/>
        <v>12.5</v>
      </c>
      <c r="AK10">
        <f t="shared" si="35"/>
        <v>12.5</v>
      </c>
      <c r="AL10" s="56">
        <f>IF($G10=0,"",RANK(AK10,AK$7:AK$26)+COUNTIF(AK$7:AK10,AK10)-1)</f>
        <v>1</v>
      </c>
      <c r="AM10" s="57">
        <f t="shared" si="12"/>
        <v>3</v>
      </c>
      <c r="AN10" s="57">
        <f t="shared" si="50"/>
        <v>4</v>
      </c>
      <c r="AO10" s="57">
        <f t="shared" si="13"/>
        <v>2</v>
      </c>
      <c r="AP10" s="59">
        <f t="shared" si="51"/>
        <v>4</v>
      </c>
      <c r="AQ10" t="str">
        <f t="shared" si="14"/>
        <v>Brazil</v>
      </c>
      <c r="AR10" s="60">
        <f t="shared" si="15"/>
        <v>50</v>
      </c>
      <c r="AS10" s="60">
        <f t="shared" si="36"/>
        <v>6.2000000000000028</v>
      </c>
      <c r="AT10" s="60" t="str">
        <f t="shared" si="37"/>
        <v>+6.2</v>
      </c>
      <c r="AU10" s="60"/>
      <c r="AV10">
        <f t="shared" ca="1" si="16"/>
        <v>73.3</v>
      </c>
      <c r="AW10">
        <f t="shared" ca="1" si="17"/>
        <v>74.2</v>
      </c>
      <c r="AX10">
        <f t="shared" si="38"/>
        <v>-0.90000000000000568</v>
      </c>
      <c r="AY10">
        <f t="shared" si="39"/>
        <v>-0.9</v>
      </c>
      <c r="AZ10" s="56">
        <f>IF($G10=0,"",RANK(AY10,AY$7:AY$26)+COUNTIF(AY$7:AY10,AY10)-1)</f>
        <v>12</v>
      </c>
      <c r="BA10" s="57">
        <f t="shared" si="18"/>
        <v>5</v>
      </c>
      <c r="BB10" s="57">
        <f t="shared" si="52"/>
        <v>4</v>
      </c>
      <c r="BC10" s="57">
        <f t="shared" si="19"/>
        <v>2</v>
      </c>
      <c r="BD10" s="59">
        <f t="shared" si="53"/>
        <v>4</v>
      </c>
      <c r="BE10" t="str">
        <f t="shared" si="20"/>
        <v>Colombia</v>
      </c>
      <c r="BF10" s="60">
        <f t="shared" si="21"/>
        <v>51.4</v>
      </c>
      <c r="BG10" s="60">
        <f t="shared" si="40"/>
        <v>0</v>
      </c>
      <c r="BH10" s="60" t="str">
        <f t="shared" si="41"/>
        <v>-</v>
      </c>
      <c r="BJ10">
        <f t="shared" ca="1" si="22"/>
        <v>33.299999999999997</v>
      </c>
      <c r="BK10">
        <f t="shared" ca="1" si="23"/>
        <v>33.299999999999997</v>
      </c>
      <c r="BL10">
        <f t="shared" si="42"/>
        <v>0</v>
      </c>
      <c r="BM10">
        <f t="shared" si="43"/>
        <v>0</v>
      </c>
      <c r="BN10" s="56">
        <f>IF($G10=0,"",RANK(BM10,BM$7:BM$26)+COUNTIF(BM$7:BM10,BM10)-1)</f>
        <v>8</v>
      </c>
      <c r="BO10" s="57">
        <f t="shared" si="24"/>
        <v>13</v>
      </c>
      <c r="BP10" s="57">
        <f t="shared" si="54"/>
        <v>4</v>
      </c>
      <c r="BQ10" s="57">
        <f t="shared" si="25"/>
        <v>2</v>
      </c>
      <c r="BR10" s="59">
        <f t="shared" si="55"/>
        <v>4</v>
      </c>
      <c r="BS10" t="str">
        <f t="shared" si="26"/>
        <v>Jamaica</v>
      </c>
      <c r="BT10" s="60">
        <f t="shared" si="27"/>
        <v>8.3000000000000007</v>
      </c>
      <c r="BU10" s="60">
        <f t="shared" si="44"/>
        <v>8.3000000000000007</v>
      </c>
      <c r="BV10" s="60" t="str">
        <f t="shared" si="45"/>
        <v>+8.3</v>
      </c>
    </row>
    <row r="11" spans="1:74">
      <c r="A11">
        <v>5</v>
      </c>
      <c r="B11">
        <f ca="1">tblCountries!A78</f>
        <v>12</v>
      </c>
      <c r="C11" t="str">
        <f ca="1">tblCountries!B78</f>
        <v>CO</v>
      </c>
      <c r="D11" t="str">
        <f ca="1">tblCountries!C78</f>
        <v>Colombia</v>
      </c>
      <c r="E11" s="5">
        <v>2</v>
      </c>
      <c r="G11" s="5">
        <f t="shared" si="28"/>
        <v>2</v>
      </c>
      <c r="H11">
        <f t="shared" ca="1" si="29"/>
        <v>0</v>
      </c>
      <c r="K11" s="56">
        <f>IF($G11=0,"",RANK(H11,H$7:H$26)+COUNTIF(H$7:H11,H11)-1)</f>
        <v>17</v>
      </c>
      <c r="L11" s="57">
        <f t="shared" si="0"/>
        <v>7</v>
      </c>
      <c r="M11" s="57">
        <f t="shared" si="46"/>
        <v>4</v>
      </c>
      <c r="N11" s="57">
        <f t="shared" si="1"/>
        <v>2</v>
      </c>
      <c r="O11" s="59" t="str">
        <f t="shared" si="47"/>
        <v>=4</v>
      </c>
      <c r="P11" t="str">
        <f t="shared" si="2"/>
        <v>Dominican Republic</v>
      </c>
      <c r="Q11" s="60">
        <f t="shared" si="3"/>
        <v>2</v>
      </c>
      <c r="T11">
        <f t="shared" ca="1" si="4"/>
        <v>58.6</v>
      </c>
      <c r="U11">
        <f t="shared" ca="1" si="5"/>
        <v>58.6</v>
      </c>
      <c r="V11">
        <f t="shared" si="30"/>
        <v>0</v>
      </c>
      <c r="W11">
        <f t="shared" si="31"/>
        <v>0</v>
      </c>
      <c r="X11" s="56">
        <f>IF($G11=0,"",RANK(W11,W$7:W$26)+COUNTIF(W$7:W11,W11)-1)</f>
        <v>10</v>
      </c>
      <c r="Y11" s="57">
        <f t="shared" si="6"/>
        <v>3</v>
      </c>
      <c r="Z11" s="57">
        <f t="shared" si="48"/>
        <v>5</v>
      </c>
      <c r="AA11" s="57">
        <f t="shared" si="7"/>
        <v>2</v>
      </c>
      <c r="AB11" s="59">
        <f t="shared" si="49"/>
        <v>5</v>
      </c>
      <c r="AC11" t="str">
        <f t="shared" si="8"/>
        <v>Brazil</v>
      </c>
      <c r="AD11" s="60">
        <f t="shared" si="9"/>
        <v>44</v>
      </c>
      <c r="AE11" s="60">
        <f t="shared" si="32"/>
        <v>2.3999999999999986</v>
      </c>
      <c r="AF11" s="60" t="str">
        <f t="shared" si="33"/>
        <v>+2.4</v>
      </c>
      <c r="AH11">
        <f t="shared" ca="1" si="10"/>
        <v>62.5</v>
      </c>
      <c r="AI11">
        <f t="shared" ca="1" si="11"/>
        <v>62.5</v>
      </c>
      <c r="AJ11">
        <f t="shared" si="34"/>
        <v>0</v>
      </c>
      <c r="AK11">
        <f t="shared" si="35"/>
        <v>0</v>
      </c>
      <c r="AL11" s="56">
        <f>IF($G11=0,"",RANK(AK11,AK$7:AK$26)+COUNTIF(AK$7:AK11,AK11)-1)</f>
        <v>6</v>
      </c>
      <c r="AM11" s="57">
        <f t="shared" si="12"/>
        <v>9</v>
      </c>
      <c r="AN11" s="57">
        <f t="shared" si="50"/>
        <v>5</v>
      </c>
      <c r="AO11" s="57">
        <f t="shared" si="13"/>
        <v>2</v>
      </c>
      <c r="AP11" s="59" t="str">
        <f t="shared" si="51"/>
        <v>=5</v>
      </c>
      <c r="AQ11" t="str">
        <f t="shared" si="14"/>
        <v>El Salvador</v>
      </c>
      <c r="AR11" s="60">
        <f t="shared" si="15"/>
        <v>62.5</v>
      </c>
      <c r="AS11" s="60">
        <f t="shared" si="36"/>
        <v>6.2000000000000028</v>
      </c>
      <c r="AT11" s="60" t="str">
        <f t="shared" si="37"/>
        <v>+6.2</v>
      </c>
      <c r="AU11" s="60"/>
      <c r="AV11">
        <f t="shared" ca="1" si="16"/>
        <v>51.4</v>
      </c>
      <c r="AW11">
        <f t="shared" ca="1" si="17"/>
        <v>51.4</v>
      </c>
      <c r="AX11">
        <f t="shared" si="38"/>
        <v>0</v>
      </c>
      <c r="AY11">
        <f t="shared" si="39"/>
        <v>0</v>
      </c>
      <c r="AZ11" s="56">
        <f>IF($G11=0,"",RANK(AY11,AY$7:AY$26)+COUNTIF(AY$7:AY11,AY11)-1)</f>
        <v>4</v>
      </c>
      <c r="BA11" s="57">
        <f t="shared" si="18"/>
        <v>16</v>
      </c>
      <c r="BB11" s="57">
        <f t="shared" si="52"/>
        <v>5</v>
      </c>
      <c r="BC11" s="57">
        <f t="shared" si="19"/>
        <v>2</v>
      </c>
      <c r="BD11" s="59">
        <f t="shared" si="53"/>
        <v>5</v>
      </c>
      <c r="BE11" t="str">
        <f t="shared" si="20"/>
        <v>Panama</v>
      </c>
      <c r="BF11" s="60">
        <f t="shared" si="21"/>
        <v>58.3</v>
      </c>
      <c r="BG11" s="60">
        <f t="shared" si="40"/>
        <v>0</v>
      </c>
      <c r="BH11" s="60" t="str">
        <f t="shared" si="41"/>
        <v>-</v>
      </c>
      <c r="BJ11">
        <f t="shared" ca="1" si="22"/>
        <v>58.3</v>
      </c>
      <c r="BK11">
        <f t="shared" ca="1" si="23"/>
        <v>58.3</v>
      </c>
      <c r="BL11">
        <f t="shared" si="42"/>
        <v>0</v>
      </c>
      <c r="BM11">
        <f t="shared" si="43"/>
        <v>0</v>
      </c>
      <c r="BN11" s="56">
        <f>IF($G11=0,"",RANK(BM11,BM$7:BM$26)+COUNTIF(BM$7:BM11,BM11)-1)</f>
        <v>9</v>
      </c>
      <c r="BO11" s="57">
        <f t="shared" si="24"/>
        <v>1</v>
      </c>
      <c r="BP11" s="57">
        <f t="shared" si="54"/>
        <v>5</v>
      </c>
      <c r="BQ11" s="57">
        <f t="shared" si="25"/>
        <v>3</v>
      </c>
      <c r="BR11" s="59">
        <f t="shared" si="55"/>
        <v>5</v>
      </c>
      <c r="BS11" t="str">
        <f t="shared" si="26"/>
        <v>Argentina</v>
      </c>
      <c r="BT11" s="60">
        <f t="shared" si="27"/>
        <v>33.299999999999997</v>
      </c>
      <c r="BU11" s="60">
        <f t="shared" si="44"/>
        <v>0</v>
      </c>
      <c r="BV11" s="60" t="str">
        <f t="shared" si="45"/>
        <v>-</v>
      </c>
    </row>
    <row r="12" spans="1:74">
      <c r="A12">
        <v>6</v>
      </c>
      <c r="B12">
        <f ca="1">tblCountries!A79</f>
        <v>13</v>
      </c>
      <c r="C12" t="str">
        <f ca="1">tblCountries!B79</f>
        <v>CR</v>
      </c>
      <c r="D12" t="str">
        <f ca="1">tblCountries!C79</f>
        <v>Costa Rica</v>
      </c>
      <c r="E12" s="5">
        <v>2</v>
      </c>
      <c r="G12" s="5">
        <f t="shared" si="28"/>
        <v>2</v>
      </c>
      <c r="H12">
        <f t="shared" ca="1" si="29"/>
        <v>2</v>
      </c>
      <c r="K12" s="56">
        <f>IF($G12=0,"",RANK(H12,H$7:H$26)+COUNTIF(H$7:H12,H12)-1)</f>
        <v>4</v>
      </c>
      <c r="L12" s="57">
        <f t="shared" si="0"/>
        <v>9</v>
      </c>
      <c r="M12" s="57">
        <f t="shared" si="46"/>
        <v>4</v>
      </c>
      <c r="N12" s="57">
        <f t="shared" si="1"/>
        <v>2</v>
      </c>
      <c r="O12" s="59" t="str">
        <f t="shared" si="47"/>
        <v>=4</v>
      </c>
      <c r="P12" t="str">
        <f t="shared" si="2"/>
        <v>El Salvador</v>
      </c>
      <c r="Q12" s="60">
        <f t="shared" si="3"/>
        <v>2</v>
      </c>
      <c r="T12">
        <f t="shared" ca="1" si="4"/>
        <v>42.5</v>
      </c>
      <c r="U12">
        <f t="shared" ca="1" si="5"/>
        <v>40.299999999999997</v>
      </c>
      <c r="V12">
        <f t="shared" si="30"/>
        <v>2.2000000000000028</v>
      </c>
      <c r="W12">
        <f t="shared" si="31"/>
        <v>2.2000000000000002</v>
      </c>
      <c r="X12" s="56">
        <f>IF($G12=0,"",RANK(W12,W$7:W$26)+COUNTIF(W$7:W12,W12)-1)</f>
        <v>7</v>
      </c>
      <c r="Y12" s="57">
        <f t="shared" si="6"/>
        <v>1</v>
      </c>
      <c r="Z12" s="57">
        <f t="shared" si="48"/>
        <v>6</v>
      </c>
      <c r="AA12" s="57">
        <f t="shared" si="7"/>
        <v>3</v>
      </c>
      <c r="AB12" s="59">
        <f t="shared" si="49"/>
        <v>6</v>
      </c>
      <c r="AC12" t="str">
        <f t="shared" si="8"/>
        <v>Argentina</v>
      </c>
      <c r="AD12" s="60">
        <f t="shared" si="9"/>
        <v>30.8</v>
      </c>
      <c r="AE12" s="60">
        <f t="shared" si="32"/>
        <v>2.3000000000000007</v>
      </c>
      <c r="AF12" s="60" t="str">
        <f t="shared" si="33"/>
        <v>+2.3</v>
      </c>
      <c r="AH12">
        <f t="shared" ca="1" si="10"/>
        <v>43.8</v>
      </c>
      <c r="AI12">
        <f t="shared" ca="1" si="11"/>
        <v>37.5</v>
      </c>
      <c r="AJ12">
        <f t="shared" si="34"/>
        <v>6.2999999999999972</v>
      </c>
      <c r="AK12">
        <f t="shared" si="35"/>
        <v>6.3</v>
      </c>
      <c r="AL12" s="56">
        <f>IF($G12=0,"",RANK(AK12,AK$7:AK$26)+COUNTIF(AK$7:AK12,AK12)-1)</f>
        <v>2</v>
      </c>
      <c r="AM12" s="57">
        <f t="shared" si="12"/>
        <v>5</v>
      </c>
      <c r="AN12" s="57">
        <f t="shared" si="50"/>
        <v>5</v>
      </c>
      <c r="AO12" s="57">
        <f t="shared" si="13"/>
        <v>2</v>
      </c>
      <c r="AP12" s="59" t="str">
        <f t="shared" si="51"/>
        <v>=5</v>
      </c>
      <c r="AQ12" t="str">
        <f t="shared" si="14"/>
        <v>Colombia</v>
      </c>
      <c r="AR12" s="60">
        <f t="shared" si="15"/>
        <v>62.5</v>
      </c>
      <c r="AS12" s="60">
        <f t="shared" si="36"/>
        <v>0</v>
      </c>
      <c r="AT12" s="60" t="str">
        <f t="shared" si="37"/>
        <v>-</v>
      </c>
      <c r="AU12" s="60"/>
      <c r="AV12">
        <f t="shared" ca="1" si="16"/>
        <v>58.1</v>
      </c>
      <c r="AW12">
        <f t="shared" ca="1" si="17"/>
        <v>59.7</v>
      </c>
      <c r="AX12">
        <f t="shared" si="38"/>
        <v>-1.6000000000000014</v>
      </c>
      <c r="AY12">
        <f t="shared" si="39"/>
        <v>-1.6</v>
      </c>
      <c r="AZ12" s="56">
        <f>IF($G12=0,"",RANK(AY12,AY$7:AY$26)+COUNTIF(AY$7:AY12,AY12)-1)</f>
        <v>13</v>
      </c>
      <c r="BA12" s="57">
        <f t="shared" si="18"/>
        <v>19</v>
      </c>
      <c r="BB12" s="57">
        <f t="shared" si="52"/>
        <v>6</v>
      </c>
      <c r="BC12" s="57">
        <f t="shared" si="19"/>
        <v>2</v>
      </c>
      <c r="BD12" s="59">
        <f t="shared" si="53"/>
        <v>6</v>
      </c>
      <c r="BE12" t="str">
        <f t="shared" si="20"/>
        <v>Uruguay</v>
      </c>
      <c r="BF12" s="60">
        <f t="shared" si="21"/>
        <v>45.8</v>
      </c>
      <c r="BG12" s="60">
        <f t="shared" si="40"/>
        <v>0</v>
      </c>
      <c r="BH12" s="60" t="str">
        <f t="shared" si="41"/>
        <v>-</v>
      </c>
      <c r="BJ12">
        <f t="shared" ca="1" si="22"/>
        <v>33.299999999999997</v>
      </c>
      <c r="BK12">
        <f t="shared" ca="1" si="23"/>
        <v>33.299999999999997</v>
      </c>
      <c r="BL12">
        <f t="shared" si="42"/>
        <v>0</v>
      </c>
      <c r="BM12">
        <f t="shared" si="43"/>
        <v>0</v>
      </c>
      <c r="BN12" s="56">
        <f>IF($G12=0,"",RANK(BM12,BM$7:BM$26)+COUNTIF(BM$7:BM12,BM12)-1)</f>
        <v>10</v>
      </c>
      <c r="BO12" s="57">
        <f t="shared" si="24"/>
        <v>2</v>
      </c>
      <c r="BP12" s="57">
        <f t="shared" si="54"/>
        <v>6</v>
      </c>
      <c r="BQ12" s="57">
        <f t="shared" si="25"/>
        <v>2</v>
      </c>
      <c r="BR12" s="59">
        <f t="shared" si="55"/>
        <v>6</v>
      </c>
      <c r="BS12" t="str">
        <f t="shared" si="26"/>
        <v>Bolivia</v>
      </c>
      <c r="BT12" s="60">
        <f t="shared" si="27"/>
        <v>75</v>
      </c>
      <c r="BU12" s="60">
        <f t="shared" si="44"/>
        <v>0</v>
      </c>
      <c r="BV12" s="60" t="str">
        <f t="shared" si="45"/>
        <v>-</v>
      </c>
    </row>
    <row r="13" spans="1:74">
      <c r="A13">
        <v>7</v>
      </c>
      <c r="B13">
        <f ca="1">tblCountries!A80</f>
        <v>14</v>
      </c>
      <c r="C13" t="str">
        <f ca="1">tblCountries!B80</f>
        <v>DO</v>
      </c>
      <c r="D13" t="str">
        <f ca="1">tblCountries!C80</f>
        <v>Dominican Republic</v>
      </c>
      <c r="E13" s="5">
        <v>2</v>
      </c>
      <c r="G13" s="5">
        <f t="shared" si="28"/>
        <v>2</v>
      </c>
      <c r="H13">
        <f t="shared" ca="1" si="29"/>
        <v>2</v>
      </c>
      <c r="K13" s="56">
        <f>IF($G13=0,"",RANK(H13,H$7:H$26)+COUNTIF(H$7:H13,H13)-1)</f>
        <v>5</v>
      </c>
      <c r="L13" s="57">
        <f t="shared" si="0"/>
        <v>13</v>
      </c>
      <c r="M13" s="57">
        <f t="shared" si="46"/>
        <v>4</v>
      </c>
      <c r="N13" s="57">
        <f t="shared" si="1"/>
        <v>2</v>
      </c>
      <c r="O13" s="59" t="str">
        <f t="shared" si="47"/>
        <v>=4</v>
      </c>
      <c r="P13" t="str">
        <f t="shared" si="2"/>
        <v>Jamaica</v>
      </c>
      <c r="Q13" s="60">
        <f t="shared" si="3"/>
        <v>2</v>
      </c>
      <c r="T13">
        <f t="shared" ca="1" si="4"/>
        <v>47</v>
      </c>
      <c r="U13">
        <f t="shared" ca="1" si="5"/>
        <v>48</v>
      </c>
      <c r="V13">
        <f t="shared" si="30"/>
        <v>-1</v>
      </c>
      <c r="W13">
        <f t="shared" si="31"/>
        <v>-1</v>
      </c>
      <c r="X13" s="56">
        <f>IF($G13=0,"",RANK(W13,W$7:W$26)+COUNTIF(W$7:W13,W13)-1)</f>
        <v>15</v>
      </c>
      <c r="Y13" s="57">
        <f t="shared" si="6"/>
        <v>6</v>
      </c>
      <c r="Z13" s="57">
        <f t="shared" si="48"/>
        <v>7</v>
      </c>
      <c r="AA13" s="57">
        <f t="shared" si="7"/>
        <v>2</v>
      </c>
      <c r="AB13" s="59">
        <f t="shared" si="49"/>
        <v>7</v>
      </c>
      <c r="AC13" t="str">
        <f t="shared" si="8"/>
        <v>Costa Rica</v>
      </c>
      <c r="AD13" s="60">
        <f t="shared" si="9"/>
        <v>42.5</v>
      </c>
      <c r="AE13" s="60">
        <f t="shared" si="32"/>
        <v>2.2000000000000028</v>
      </c>
      <c r="AF13" s="60" t="str">
        <f t="shared" si="33"/>
        <v>+2.2</v>
      </c>
      <c r="AH13">
        <f t="shared" ca="1" si="10"/>
        <v>50</v>
      </c>
      <c r="AI13">
        <f t="shared" ca="1" si="11"/>
        <v>50</v>
      </c>
      <c r="AJ13">
        <f t="shared" si="34"/>
        <v>0</v>
      </c>
      <c r="AK13">
        <f t="shared" si="35"/>
        <v>0</v>
      </c>
      <c r="AL13" s="56">
        <f>IF($G13=0,"",RANK(AK13,AK$7:AK$26)+COUNTIF(AK$7:AK13,AK13)-1)</f>
        <v>7</v>
      </c>
      <c r="AM13" s="57">
        <f t="shared" si="12"/>
        <v>7</v>
      </c>
      <c r="AN13" s="57">
        <f t="shared" si="50"/>
        <v>7</v>
      </c>
      <c r="AO13" s="57">
        <f t="shared" si="13"/>
        <v>2</v>
      </c>
      <c r="AP13" s="59">
        <f t="shared" si="51"/>
        <v>7</v>
      </c>
      <c r="AQ13" t="str">
        <f t="shared" si="14"/>
        <v>Dominican Republic</v>
      </c>
      <c r="AR13" s="60">
        <f t="shared" si="15"/>
        <v>50</v>
      </c>
      <c r="AS13" s="60">
        <f t="shared" si="36"/>
        <v>0</v>
      </c>
      <c r="AT13" s="60" t="str">
        <f t="shared" si="37"/>
        <v>-</v>
      </c>
      <c r="AU13" s="60"/>
      <c r="AV13">
        <f t="shared" ca="1" si="16"/>
        <v>35</v>
      </c>
      <c r="AW13">
        <f t="shared" ca="1" si="17"/>
        <v>40</v>
      </c>
      <c r="AX13">
        <f t="shared" si="38"/>
        <v>-5</v>
      </c>
      <c r="AY13">
        <f t="shared" si="39"/>
        <v>-5</v>
      </c>
      <c r="AZ13" s="56">
        <f>IF($G13=0,"",RANK(AY13,AY$7:AY$26)+COUNTIF(AY$7:AY13,AY13)-1)</f>
        <v>19</v>
      </c>
      <c r="BA13" s="57">
        <f t="shared" si="18"/>
        <v>11</v>
      </c>
      <c r="BB13" s="57">
        <f t="shared" si="52"/>
        <v>7</v>
      </c>
      <c r="BC13" s="57">
        <f t="shared" si="19"/>
        <v>2</v>
      </c>
      <c r="BD13" s="59">
        <f t="shared" si="53"/>
        <v>7</v>
      </c>
      <c r="BE13" t="str">
        <f t="shared" si="20"/>
        <v>Haiti</v>
      </c>
      <c r="BF13" s="60">
        <f t="shared" si="21"/>
        <v>29.4</v>
      </c>
      <c r="BG13" s="60">
        <f t="shared" si="40"/>
        <v>-0.60000000000000142</v>
      </c>
      <c r="BH13" s="60">
        <f t="shared" si="41"/>
        <v>-0.6</v>
      </c>
      <c r="BJ13">
        <f t="shared" ca="1" si="22"/>
        <v>50</v>
      </c>
      <c r="BK13">
        <f t="shared" ca="1" si="23"/>
        <v>50</v>
      </c>
      <c r="BL13">
        <f t="shared" si="42"/>
        <v>0</v>
      </c>
      <c r="BM13">
        <f t="shared" si="43"/>
        <v>0</v>
      </c>
      <c r="BN13" s="56">
        <f>IF($G13=0,"",RANK(BM13,BM$7:BM$26)+COUNTIF(BM$7:BM13,BM13)-1)</f>
        <v>11</v>
      </c>
      <c r="BO13" s="57">
        <f t="shared" si="24"/>
        <v>3</v>
      </c>
      <c r="BP13" s="57">
        <f t="shared" si="54"/>
        <v>7</v>
      </c>
      <c r="BQ13" s="57">
        <f t="shared" si="25"/>
        <v>2</v>
      </c>
      <c r="BR13" s="59" t="str">
        <f t="shared" si="55"/>
        <v>=7</v>
      </c>
      <c r="BS13" t="str">
        <f t="shared" si="26"/>
        <v>Brazil</v>
      </c>
      <c r="BT13" s="60">
        <f t="shared" si="27"/>
        <v>33.299999999999997</v>
      </c>
      <c r="BU13" s="60">
        <f t="shared" si="44"/>
        <v>0</v>
      </c>
      <c r="BV13" s="60" t="str">
        <f t="shared" si="45"/>
        <v>-</v>
      </c>
    </row>
    <row r="14" spans="1:74">
      <c r="A14">
        <v>8</v>
      </c>
      <c r="B14">
        <f ca="1">tblCountries!A81</f>
        <v>16</v>
      </c>
      <c r="C14" t="str">
        <f ca="1">tblCountries!B81</f>
        <v>EC</v>
      </c>
      <c r="D14" t="str">
        <f ca="1">tblCountries!C81</f>
        <v>Ecuador</v>
      </c>
      <c r="E14" s="5">
        <v>2</v>
      </c>
      <c r="G14" s="5">
        <f t="shared" si="28"/>
        <v>2</v>
      </c>
      <c r="H14">
        <f t="shared" ca="1" si="29"/>
        <v>3</v>
      </c>
      <c r="K14" s="56">
        <f>IF($G14=0,"",RANK(H14,H$7:H$26)+COUNTIF(H$7:H14,H14)-1)</f>
        <v>1</v>
      </c>
      <c r="L14" s="57">
        <f t="shared" si="0"/>
        <v>15</v>
      </c>
      <c r="M14" s="57">
        <f t="shared" si="46"/>
        <v>4</v>
      </c>
      <c r="N14" s="57">
        <f t="shared" si="1"/>
        <v>2</v>
      </c>
      <c r="O14" s="59" t="str">
        <f t="shared" si="47"/>
        <v>=4</v>
      </c>
      <c r="P14" t="str">
        <f t="shared" si="2"/>
        <v>Nicaragua</v>
      </c>
      <c r="Q14" s="60">
        <f t="shared" si="3"/>
        <v>2</v>
      </c>
      <c r="T14">
        <f t="shared" ca="1" si="4"/>
        <v>59.7</v>
      </c>
      <c r="U14">
        <f t="shared" ca="1" si="5"/>
        <v>69.7</v>
      </c>
      <c r="V14">
        <f t="shared" si="30"/>
        <v>-10</v>
      </c>
      <c r="W14">
        <f t="shared" si="31"/>
        <v>-10</v>
      </c>
      <c r="X14" s="56">
        <f>IF($G14=0,"",RANK(W14,W$7:W$26)+COUNTIF(W$7:W14,W14)-1)</f>
        <v>20</v>
      </c>
      <c r="Y14" s="57">
        <f t="shared" si="6"/>
        <v>12</v>
      </c>
      <c r="Z14" s="57">
        <f t="shared" si="48"/>
        <v>8</v>
      </c>
      <c r="AA14" s="57">
        <f t="shared" si="7"/>
        <v>2</v>
      </c>
      <c r="AB14" s="59">
        <f t="shared" si="49"/>
        <v>8</v>
      </c>
      <c r="AC14" t="str">
        <f t="shared" si="8"/>
        <v>Honduras</v>
      </c>
      <c r="AD14" s="60">
        <f t="shared" si="9"/>
        <v>49.3</v>
      </c>
      <c r="AE14" s="60">
        <f t="shared" si="32"/>
        <v>2.1999999999999957</v>
      </c>
      <c r="AF14" s="60" t="str">
        <f t="shared" si="33"/>
        <v>+2.2</v>
      </c>
      <c r="AH14">
        <f t="shared" ca="1" si="10"/>
        <v>68.8</v>
      </c>
      <c r="AI14">
        <f t="shared" ca="1" si="11"/>
        <v>75</v>
      </c>
      <c r="AJ14">
        <f t="shared" si="34"/>
        <v>-6.2000000000000028</v>
      </c>
      <c r="AK14">
        <f t="shared" si="35"/>
        <v>-6.2</v>
      </c>
      <c r="AL14" s="56">
        <f>IF($G14=0,"",RANK(AK14,AK$7:AK$26)+COUNTIF(AK$7:AK14,AK14)-1)</f>
        <v>18</v>
      </c>
      <c r="AM14" s="57">
        <f t="shared" si="12"/>
        <v>11</v>
      </c>
      <c r="AN14" s="57">
        <f t="shared" si="50"/>
        <v>8</v>
      </c>
      <c r="AO14" s="57">
        <f t="shared" si="13"/>
        <v>2</v>
      </c>
      <c r="AP14" s="59">
        <f t="shared" si="51"/>
        <v>8</v>
      </c>
      <c r="AQ14" t="str">
        <f t="shared" si="14"/>
        <v>Haiti</v>
      </c>
      <c r="AR14" s="60">
        <f t="shared" si="15"/>
        <v>43.8</v>
      </c>
      <c r="AS14" s="60">
        <f t="shared" si="36"/>
        <v>0</v>
      </c>
      <c r="AT14" s="60" t="str">
        <f t="shared" si="37"/>
        <v>-</v>
      </c>
      <c r="AU14" s="60"/>
      <c r="AV14">
        <f t="shared" ca="1" si="16"/>
        <v>27.5</v>
      </c>
      <c r="AW14">
        <f t="shared" ca="1" si="17"/>
        <v>31.7</v>
      </c>
      <c r="AX14">
        <f t="shared" si="38"/>
        <v>-4.1999999999999993</v>
      </c>
      <c r="AY14">
        <f t="shared" si="39"/>
        <v>-4.2</v>
      </c>
      <c r="AZ14" s="56">
        <f>IF($G14=0,"",RANK(AY14,AY$7:AY$26)+COUNTIF(AY$7:AY14,AY14)-1)</f>
        <v>17</v>
      </c>
      <c r="BA14" s="57">
        <f t="shared" si="18"/>
        <v>1</v>
      </c>
      <c r="BB14" s="57">
        <f t="shared" si="52"/>
        <v>8</v>
      </c>
      <c r="BC14" s="57">
        <f t="shared" si="19"/>
        <v>3</v>
      </c>
      <c r="BD14" s="59">
        <f t="shared" si="53"/>
        <v>8</v>
      </c>
      <c r="BE14" t="str">
        <f t="shared" si="20"/>
        <v>Argentina</v>
      </c>
      <c r="BF14" s="60">
        <f t="shared" si="21"/>
        <v>37.5</v>
      </c>
      <c r="BG14" s="60">
        <f t="shared" si="40"/>
        <v>-0.79999999999999716</v>
      </c>
      <c r="BH14" s="60">
        <f t="shared" si="41"/>
        <v>-0.8</v>
      </c>
      <c r="BJ14">
        <f t="shared" ca="1" si="22"/>
        <v>66.7</v>
      </c>
      <c r="BK14">
        <f t="shared" ca="1" si="23"/>
        <v>83.3</v>
      </c>
      <c r="BL14">
        <f t="shared" si="42"/>
        <v>-16.599999999999994</v>
      </c>
      <c r="BM14">
        <f t="shared" si="43"/>
        <v>-16.600000000000001</v>
      </c>
      <c r="BN14" s="56">
        <f>IF($G14=0,"",RANK(BM14,BM$7:BM$26)+COUNTIF(BM$7:BM14,BM14)-1)</f>
        <v>20</v>
      </c>
      <c r="BO14" s="57">
        <f t="shared" si="24"/>
        <v>4</v>
      </c>
      <c r="BP14" s="57">
        <f t="shared" si="54"/>
        <v>7</v>
      </c>
      <c r="BQ14" s="57">
        <f t="shared" si="25"/>
        <v>2</v>
      </c>
      <c r="BR14" s="59" t="str">
        <f t="shared" si="55"/>
        <v>=7</v>
      </c>
      <c r="BS14" t="str">
        <f t="shared" si="26"/>
        <v>Chile</v>
      </c>
      <c r="BT14" s="60">
        <f t="shared" si="27"/>
        <v>33.299999999999997</v>
      </c>
      <c r="BU14" s="60">
        <f t="shared" si="44"/>
        <v>0</v>
      </c>
      <c r="BV14" s="60" t="str">
        <f t="shared" si="45"/>
        <v>-</v>
      </c>
    </row>
    <row r="15" spans="1:74">
      <c r="A15">
        <v>9</v>
      </c>
      <c r="B15">
        <f ca="1">tblCountries!A82</f>
        <v>17</v>
      </c>
      <c r="C15" t="str">
        <f ca="1">tblCountries!B82</f>
        <v>SV</v>
      </c>
      <c r="D15" t="str">
        <f ca="1">tblCountries!C82</f>
        <v>El Salvador</v>
      </c>
      <c r="E15" s="5">
        <v>2</v>
      </c>
      <c r="G15" s="5">
        <f t="shared" si="28"/>
        <v>2</v>
      </c>
      <c r="H15">
        <f t="shared" ca="1" si="29"/>
        <v>2</v>
      </c>
      <c r="K15" s="56">
        <f>IF($G15=0,"",RANK(H15,H$7:H$26)+COUNTIF(H$7:H15,H15)-1)</f>
        <v>6</v>
      </c>
      <c r="L15" s="57">
        <f t="shared" si="0"/>
        <v>16</v>
      </c>
      <c r="M15" s="57">
        <f t="shared" si="46"/>
        <v>4</v>
      </c>
      <c r="N15" s="57">
        <f t="shared" si="1"/>
        <v>2</v>
      </c>
      <c r="O15" s="59" t="str">
        <f t="shared" si="47"/>
        <v>=4</v>
      </c>
      <c r="P15" t="str">
        <f t="shared" si="2"/>
        <v>Panama</v>
      </c>
      <c r="Q15" s="60">
        <f t="shared" si="3"/>
        <v>2</v>
      </c>
      <c r="T15">
        <f t="shared" ca="1" si="4"/>
        <v>57.5</v>
      </c>
      <c r="U15">
        <f t="shared" ca="1" si="5"/>
        <v>59</v>
      </c>
      <c r="V15">
        <f t="shared" si="30"/>
        <v>-1.5</v>
      </c>
      <c r="W15">
        <f t="shared" si="31"/>
        <v>-1.5</v>
      </c>
      <c r="X15" s="56">
        <f>IF($G15=0,"",RANK(W15,W$7:W$26)+COUNTIF(W$7:W15,W15)-1)</f>
        <v>16</v>
      </c>
      <c r="Y15" s="57">
        <f t="shared" si="6"/>
        <v>15</v>
      </c>
      <c r="Z15" s="57">
        <f t="shared" si="48"/>
        <v>9</v>
      </c>
      <c r="AA15" s="57">
        <f t="shared" si="7"/>
        <v>2</v>
      </c>
      <c r="AB15" s="59">
        <f t="shared" si="49"/>
        <v>9</v>
      </c>
      <c r="AC15" t="str">
        <f t="shared" si="8"/>
        <v>Nicaragua</v>
      </c>
      <c r="AD15" s="60">
        <f t="shared" si="9"/>
        <v>58.7</v>
      </c>
      <c r="AE15" s="60">
        <f t="shared" si="32"/>
        <v>0.70000000000000284</v>
      </c>
      <c r="AF15" s="60" t="str">
        <f t="shared" si="33"/>
        <v>+0.7</v>
      </c>
      <c r="AH15">
        <f t="shared" ca="1" si="10"/>
        <v>62.5</v>
      </c>
      <c r="AI15">
        <f t="shared" ca="1" si="11"/>
        <v>56.3</v>
      </c>
      <c r="AJ15">
        <f t="shared" si="34"/>
        <v>6.2000000000000028</v>
      </c>
      <c r="AK15">
        <f t="shared" si="35"/>
        <v>6.2</v>
      </c>
      <c r="AL15" s="56">
        <f>IF($G15=0,"",RANK(AK15,AK$7:AK$26)+COUNTIF(AK$7:AK15,AK15)-1)</f>
        <v>5</v>
      </c>
      <c r="AM15" s="57">
        <f t="shared" si="12"/>
        <v>12</v>
      </c>
      <c r="AN15" s="57">
        <f t="shared" si="50"/>
        <v>9</v>
      </c>
      <c r="AO15" s="57">
        <f t="shared" si="13"/>
        <v>2</v>
      </c>
      <c r="AP15" s="59">
        <f t="shared" si="51"/>
        <v>9</v>
      </c>
      <c r="AQ15" t="str">
        <f t="shared" si="14"/>
        <v>Honduras</v>
      </c>
      <c r="AR15" s="60">
        <f t="shared" si="15"/>
        <v>50</v>
      </c>
      <c r="AS15" s="60">
        <f t="shared" si="36"/>
        <v>0</v>
      </c>
      <c r="AT15" s="60" t="str">
        <f t="shared" si="37"/>
        <v>-</v>
      </c>
      <c r="AU15" s="60"/>
      <c r="AV15">
        <f t="shared" ca="1" si="16"/>
        <v>45.8</v>
      </c>
      <c r="AW15">
        <f t="shared" ca="1" si="17"/>
        <v>49.2</v>
      </c>
      <c r="AX15">
        <f t="shared" si="38"/>
        <v>-3.4000000000000057</v>
      </c>
      <c r="AY15">
        <f t="shared" si="39"/>
        <v>-3.4</v>
      </c>
      <c r="AZ15" s="56">
        <f>IF($G15=0,"",RANK(AY15,AY$7:AY$26)+COUNTIF(AY$7:AY15,AY15)-1)</f>
        <v>15</v>
      </c>
      <c r="BA15" s="57">
        <f t="shared" si="18"/>
        <v>2</v>
      </c>
      <c r="BB15" s="57">
        <f t="shared" si="52"/>
        <v>9</v>
      </c>
      <c r="BC15" s="57">
        <f t="shared" si="19"/>
        <v>2</v>
      </c>
      <c r="BD15" s="59">
        <f t="shared" si="53"/>
        <v>9</v>
      </c>
      <c r="BE15" t="str">
        <f t="shared" si="20"/>
        <v>Bolivia</v>
      </c>
      <c r="BF15" s="60">
        <f t="shared" si="21"/>
        <v>46.1</v>
      </c>
      <c r="BG15" s="60">
        <f t="shared" si="40"/>
        <v>-0.79999999999999716</v>
      </c>
      <c r="BH15" s="60">
        <f t="shared" si="41"/>
        <v>-0.8</v>
      </c>
      <c r="BJ15">
        <f t="shared" ca="1" si="22"/>
        <v>58.3</v>
      </c>
      <c r="BK15">
        <f t="shared" ca="1" si="23"/>
        <v>66.7</v>
      </c>
      <c r="BL15">
        <f t="shared" si="42"/>
        <v>-8.4000000000000057</v>
      </c>
      <c r="BM15">
        <f t="shared" si="43"/>
        <v>-8.4</v>
      </c>
      <c r="BN15" s="56">
        <f>IF($G15=0,"",RANK(BM15,BM$7:BM$26)+COUNTIF(BM$7:BM15,BM15)-1)</f>
        <v>19</v>
      </c>
      <c r="BO15" s="57">
        <f t="shared" si="24"/>
        <v>5</v>
      </c>
      <c r="BP15" s="57">
        <f t="shared" si="54"/>
        <v>9</v>
      </c>
      <c r="BQ15" s="57">
        <f t="shared" si="25"/>
        <v>2</v>
      </c>
      <c r="BR15" s="59">
        <f t="shared" si="55"/>
        <v>9</v>
      </c>
      <c r="BS15" t="str">
        <f t="shared" si="26"/>
        <v>Colombia</v>
      </c>
      <c r="BT15" s="60">
        <f t="shared" si="27"/>
        <v>58.3</v>
      </c>
      <c r="BU15" s="60">
        <f t="shared" si="44"/>
        <v>0</v>
      </c>
      <c r="BV15" s="60" t="str">
        <f t="shared" si="45"/>
        <v>-</v>
      </c>
    </row>
    <row r="16" spans="1:74">
      <c r="A16">
        <v>10</v>
      </c>
      <c r="B16">
        <f ca="1">tblCountries!A83</f>
        <v>21</v>
      </c>
      <c r="C16" t="str">
        <f ca="1">tblCountries!B83</f>
        <v>GT</v>
      </c>
      <c r="D16" t="str">
        <f ca="1">tblCountries!C83</f>
        <v>Guatemala</v>
      </c>
      <c r="E16" s="5">
        <v>2</v>
      </c>
      <c r="G16" s="5">
        <f t="shared" si="28"/>
        <v>2</v>
      </c>
      <c r="H16">
        <f t="shared" ca="1" si="29"/>
        <v>0</v>
      </c>
      <c r="K16" s="56">
        <f>IF($G16=0,"",RANK(H16,H$7:H$26)+COUNTIF(H$7:H16,H16)-1)</f>
        <v>18</v>
      </c>
      <c r="L16" s="57">
        <f t="shared" si="0"/>
        <v>11</v>
      </c>
      <c r="M16" s="57">
        <f t="shared" si="46"/>
        <v>10</v>
      </c>
      <c r="N16" s="57">
        <f t="shared" si="1"/>
        <v>2</v>
      </c>
      <c r="O16" s="59">
        <f t="shared" si="47"/>
        <v>10</v>
      </c>
      <c r="P16" t="str">
        <f t="shared" si="2"/>
        <v>Haiti</v>
      </c>
      <c r="Q16" s="60">
        <f t="shared" si="3"/>
        <v>1.6</v>
      </c>
      <c r="T16">
        <f t="shared" ca="1" si="4"/>
        <v>51.8</v>
      </c>
      <c r="U16">
        <f t="shared" ca="1" si="5"/>
        <v>54</v>
      </c>
      <c r="V16">
        <f t="shared" si="30"/>
        <v>-2.2000000000000028</v>
      </c>
      <c r="W16">
        <f t="shared" si="31"/>
        <v>-2.2000000000000002</v>
      </c>
      <c r="X16" s="56">
        <f>IF($G16=0,"",RANK(W16,W$7:W$26)+COUNTIF(W$7:W16,W16)-1)</f>
        <v>17</v>
      </c>
      <c r="Y16" s="57">
        <f t="shared" si="6"/>
        <v>5</v>
      </c>
      <c r="Z16" s="57">
        <f t="shared" si="48"/>
        <v>10</v>
      </c>
      <c r="AA16" s="57">
        <f t="shared" si="7"/>
        <v>2</v>
      </c>
      <c r="AB16" s="59">
        <f t="shared" si="49"/>
        <v>10</v>
      </c>
      <c r="AC16" t="str">
        <f t="shared" si="8"/>
        <v>Colombia</v>
      </c>
      <c r="AD16" s="60">
        <f t="shared" si="9"/>
        <v>58.6</v>
      </c>
      <c r="AE16" s="60">
        <f t="shared" si="32"/>
        <v>0</v>
      </c>
      <c r="AF16" s="60" t="str">
        <f t="shared" si="33"/>
        <v>-</v>
      </c>
      <c r="AH16">
        <f t="shared" ca="1" si="10"/>
        <v>50</v>
      </c>
      <c r="AI16">
        <f t="shared" ca="1" si="11"/>
        <v>56.3</v>
      </c>
      <c r="AJ16">
        <f t="shared" si="34"/>
        <v>-6.2999999999999972</v>
      </c>
      <c r="AK16">
        <f t="shared" si="35"/>
        <v>-6.3</v>
      </c>
      <c r="AL16" s="56">
        <f>IF($G16=0,"",RANK(AK16,AK$7:AK$26)+COUNTIF(AK$7:AK16,AK16)-1)</f>
        <v>20</v>
      </c>
      <c r="AM16" s="57">
        <f t="shared" si="12"/>
        <v>13</v>
      </c>
      <c r="AN16" s="57">
        <f t="shared" si="50"/>
        <v>10</v>
      </c>
      <c r="AO16" s="57">
        <f t="shared" si="13"/>
        <v>2</v>
      </c>
      <c r="AP16" s="59">
        <f t="shared" si="51"/>
        <v>10</v>
      </c>
      <c r="AQ16" t="str">
        <f t="shared" si="14"/>
        <v>Jamaica</v>
      </c>
      <c r="AR16" s="60">
        <f t="shared" si="15"/>
        <v>25</v>
      </c>
      <c r="AS16" s="60">
        <f t="shared" si="36"/>
        <v>0</v>
      </c>
      <c r="AT16" s="60" t="str">
        <f t="shared" si="37"/>
        <v>-</v>
      </c>
      <c r="AU16" s="60"/>
      <c r="AV16">
        <f t="shared" ca="1" si="16"/>
        <v>42.5</v>
      </c>
      <c r="AW16">
        <f t="shared" ca="1" si="17"/>
        <v>40.799999999999997</v>
      </c>
      <c r="AX16">
        <f t="shared" si="38"/>
        <v>1.7000000000000028</v>
      </c>
      <c r="AY16">
        <f t="shared" si="39"/>
        <v>1.7</v>
      </c>
      <c r="AZ16" s="56">
        <f>IF($G16=0,"",RANK(AY16,AY$7:AY$26)+COUNTIF(AY$7:AY16,AY16)-1)</f>
        <v>2</v>
      </c>
      <c r="BA16" s="57">
        <f t="shared" si="18"/>
        <v>14</v>
      </c>
      <c r="BB16" s="57">
        <f t="shared" si="52"/>
        <v>10</v>
      </c>
      <c r="BC16" s="57">
        <f t="shared" si="19"/>
        <v>2</v>
      </c>
      <c r="BD16" s="59">
        <f t="shared" si="53"/>
        <v>10</v>
      </c>
      <c r="BE16" t="str">
        <f t="shared" si="20"/>
        <v>Mexico</v>
      </c>
      <c r="BF16" s="60">
        <f t="shared" si="21"/>
        <v>57.5</v>
      </c>
      <c r="BG16" s="60">
        <f t="shared" si="40"/>
        <v>-0.79999999999999716</v>
      </c>
      <c r="BH16" s="60">
        <f t="shared" si="41"/>
        <v>-0.8</v>
      </c>
      <c r="BJ16">
        <f t="shared" ca="1" si="22"/>
        <v>58.3</v>
      </c>
      <c r="BK16">
        <f t="shared" ca="1" si="23"/>
        <v>58.3</v>
      </c>
      <c r="BL16">
        <f t="shared" si="42"/>
        <v>0</v>
      </c>
      <c r="BM16">
        <f t="shared" si="43"/>
        <v>0</v>
      </c>
      <c r="BN16" s="56">
        <f>IF($G16=0,"",RANK(BM16,BM$7:BM$26)+COUNTIF(BM$7:BM16,BM16)-1)</f>
        <v>12</v>
      </c>
      <c r="BO16" s="57">
        <f t="shared" si="24"/>
        <v>6</v>
      </c>
      <c r="BP16" s="57">
        <f t="shared" si="54"/>
        <v>10</v>
      </c>
      <c r="BQ16" s="57">
        <f t="shared" si="25"/>
        <v>2</v>
      </c>
      <c r="BR16" s="59">
        <f t="shared" si="55"/>
        <v>10</v>
      </c>
      <c r="BS16" t="str">
        <f t="shared" si="26"/>
        <v>Costa Rica</v>
      </c>
      <c r="BT16" s="60">
        <f t="shared" si="27"/>
        <v>33.299999999999997</v>
      </c>
      <c r="BU16" s="60">
        <f t="shared" si="44"/>
        <v>0</v>
      </c>
      <c r="BV16" s="60" t="str">
        <f t="shared" si="45"/>
        <v>-</v>
      </c>
    </row>
    <row r="17" spans="1:74">
      <c r="A17">
        <v>11</v>
      </c>
      <c r="B17">
        <f ca="1">tblCountries!A84</f>
        <v>22</v>
      </c>
      <c r="C17" t="str">
        <f ca="1">tblCountries!B84</f>
        <v>HT</v>
      </c>
      <c r="D17" t="str">
        <f ca="1">tblCountries!C84</f>
        <v>Haiti</v>
      </c>
      <c r="E17" s="5">
        <v>2</v>
      </c>
      <c r="G17" s="5">
        <f t="shared" si="28"/>
        <v>2</v>
      </c>
      <c r="H17">
        <f t="shared" ca="1" si="29"/>
        <v>1.6</v>
      </c>
      <c r="K17" s="56">
        <f>IF($G17=0,"",RANK(H17,H$7:H$26)+COUNTIF(H$7:H17,H17)-1)</f>
        <v>10</v>
      </c>
      <c r="L17" s="57">
        <f t="shared" si="0"/>
        <v>12</v>
      </c>
      <c r="M17" s="57">
        <f t="shared" si="46"/>
        <v>11</v>
      </c>
      <c r="N17" s="57">
        <f t="shared" si="1"/>
        <v>2</v>
      </c>
      <c r="O17" s="59">
        <f t="shared" si="47"/>
        <v>11</v>
      </c>
      <c r="P17" t="str">
        <f t="shared" si="2"/>
        <v>Honduras</v>
      </c>
      <c r="Q17" s="60">
        <f t="shared" si="3"/>
        <v>1.2</v>
      </c>
      <c r="T17">
        <f t="shared" ca="1" si="4"/>
        <v>33.4</v>
      </c>
      <c r="U17">
        <f t="shared" ca="1" si="5"/>
        <v>30.2</v>
      </c>
      <c r="V17">
        <f t="shared" si="30"/>
        <v>3.1999999999999993</v>
      </c>
      <c r="W17">
        <f t="shared" si="31"/>
        <v>3.2</v>
      </c>
      <c r="X17" s="56">
        <f>IF($G17=0,"",RANK(W17,W$7:W$26)+COUNTIF(W$7:W17,W17)-1)</f>
        <v>3</v>
      </c>
      <c r="Y17" s="57">
        <f t="shared" si="6"/>
        <v>19</v>
      </c>
      <c r="Z17" s="57">
        <f t="shared" si="48"/>
        <v>11</v>
      </c>
      <c r="AA17" s="57">
        <f t="shared" si="7"/>
        <v>2</v>
      </c>
      <c r="AB17" s="59">
        <f t="shared" si="49"/>
        <v>11</v>
      </c>
      <c r="AC17" t="str">
        <f t="shared" si="8"/>
        <v>Uruguay</v>
      </c>
      <c r="AD17" s="60">
        <f t="shared" si="9"/>
        <v>28.4</v>
      </c>
      <c r="AE17" s="60">
        <f t="shared" si="32"/>
        <v>0</v>
      </c>
      <c r="AF17" s="60" t="str">
        <f t="shared" si="33"/>
        <v>-</v>
      </c>
      <c r="AH17">
        <f t="shared" ca="1" si="10"/>
        <v>43.8</v>
      </c>
      <c r="AI17">
        <f t="shared" ca="1" si="11"/>
        <v>43.8</v>
      </c>
      <c r="AJ17">
        <f t="shared" si="34"/>
        <v>0</v>
      </c>
      <c r="AK17">
        <f t="shared" si="35"/>
        <v>0</v>
      </c>
      <c r="AL17" s="56">
        <f>IF($G17=0,"",RANK(AK17,AK$7:AK$26)+COUNTIF(AK$7:AK17,AK17)-1)</f>
        <v>8</v>
      </c>
      <c r="AM17" s="57">
        <f t="shared" si="12"/>
        <v>14</v>
      </c>
      <c r="AN17" s="57">
        <f t="shared" si="50"/>
        <v>11</v>
      </c>
      <c r="AO17" s="57">
        <f t="shared" si="13"/>
        <v>2</v>
      </c>
      <c r="AP17" s="59" t="str">
        <f t="shared" si="51"/>
        <v>=11</v>
      </c>
      <c r="AQ17" t="str">
        <f t="shared" si="14"/>
        <v>Mexico</v>
      </c>
      <c r="AR17" s="60">
        <f t="shared" si="15"/>
        <v>56.3</v>
      </c>
      <c r="AS17" s="60">
        <f t="shared" si="36"/>
        <v>0</v>
      </c>
      <c r="AT17" s="60" t="str">
        <f t="shared" si="37"/>
        <v>-</v>
      </c>
      <c r="AU17" s="60"/>
      <c r="AV17">
        <f t="shared" ca="1" si="16"/>
        <v>29.4</v>
      </c>
      <c r="AW17">
        <f t="shared" ca="1" si="17"/>
        <v>30</v>
      </c>
      <c r="AX17">
        <f t="shared" si="38"/>
        <v>-0.60000000000000142</v>
      </c>
      <c r="AY17">
        <f t="shared" si="39"/>
        <v>-0.6</v>
      </c>
      <c r="AZ17" s="56">
        <f>IF($G17=0,"",RANK(AY17,AY$7:AY$26)+COUNTIF(AY$7:AY17,AY17)-1)</f>
        <v>7</v>
      </c>
      <c r="BA17" s="57">
        <f t="shared" si="18"/>
        <v>17</v>
      </c>
      <c r="BB17" s="57">
        <f t="shared" si="52"/>
        <v>11</v>
      </c>
      <c r="BC17" s="57">
        <f t="shared" si="19"/>
        <v>2</v>
      </c>
      <c r="BD17" s="59">
        <f t="shared" si="53"/>
        <v>11</v>
      </c>
      <c r="BE17" t="str">
        <f t="shared" si="20"/>
        <v>Paraguay</v>
      </c>
      <c r="BF17" s="60">
        <f t="shared" si="21"/>
        <v>38.9</v>
      </c>
      <c r="BG17" s="60">
        <f t="shared" si="40"/>
        <v>-0.80000000000000426</v>
      </c>
      <c r="BH17" s="60">
        <f t="shared" si="41"/>
        <v>-0.8</v>
      </c>
      <c r="BJ17">
        <f t="shared" ca="1" si="22"/>
        <v>25</v>
      </c>
      <c r="BK17">
        <f t="shared" ca="1" si="23"/>
        <v>16.7</v>
      </c>
      <c r="BL17">
        <f t="shared" si="42"/>
        <v>8.3000000000000007</v>
      </c>
      <c r="BM17">
        <f t="shared" si="43"/>
        <v>8.3000000000000007</v>
      </c>
      <c r="BN17" s="56">
        <f>IF($G17=0,"",RANK(BM17,BM$7:BM$26)+COUNTIF(BM$7:BM17,BM17)-1)</f>
        <v>2</v>
      </c>
      <c r="BO17" s="57">
        <f t="shared" si="24"/>
        <v>7</v>
      </c>
      <c r="BP17" s="57">
        <f t="shared" si="54"/>
        <v>11</v>
      </c>
      <c r="BQ17" s="57">
        <f t="shared" si="25"/>
        <v>2</v>
      </c>
      <c r="BR17" s="59">
        <f t="shared" si="55"/>
        <v>11</v>
      </c>
      <c r="BS17" t="str">
        <f t="shared" si="26"/>
        <v>Dominican Republic</v>
      </c>
      <c r="BT17" s="60">
        <f t="shared" si="27"/>
        <v>50</v>
      </c>
      <c r="BU17" s="60">
        <f t="shared" si="44"/>
        <v>0</v>
      </c>
      <c r="BV17" s="60" t="str">
        <f t="shared" si="45"/>
        <v>-</v>
      </c>
    </row>
    <row r="18" spans="1:74">
      <c r="A18">
        <v>12</v>
      </c>
      <c r="B18">
        <f ca="1">tblCountries!A85</f>
        <v>23</v>
      </c>
      <c r="C18" t="str">
        <f ca="1">tblCountries!B85</f>
        <v>HN</v>
      </c>
      <c r="D18" t="str">
        <f ca="1">tblCountries!C85</f>
        <v>Honduras</v>
      </c>
      <c r="E18" s="5">
        <v>2</v>
      </c>
      <c r="G18" s="5">
        <f t="shared" si="28"/>
        <v>2</v>
      </c>
      <c r="H18">
        <f t="shared" ca="1" si="29"/>
        <v>1.2</v>
      </c>
      <c r="K18" s="56">
        <f>IF($G18=0,"",RANK(H18,H$7:H$26)+COUNTIF(H$7:H18,H18)-1)</f>
        <v>11</v>
      </c>
      <c r="L18" s="57">
        <f t="shared" si="0"/>
        <v>19</v>
      </c>
      <c r="M18" s="57">
        <f t="shared" si="46"/>
        <v>12</v>
      </c>
      <c r="N18" s="57">
        <f t="shared" si="1"/>
        <v>2</v>
      </c>
      <c r="O18" s="59">
        <f t="shared" si="47"/>
        <v>12</v>
      </c>
      <c r="P18" t="str">
        <f t="shared" si="2"/>
        <v>Uruguay</v>
      </c>
      <c r="Q18" s="60">
        <f t="shared" si="3"/>
        <v>1</v>
      </c>
      <c r="T18">
        <f t="shared" ca="1" si="4"/>
        <v>49.3</v>
      </c>
      <c r="U18">
        <f t="shared" ca="1" si="5"/>
        <v>47.1</v>
      </c>
      <c r="V18">
        <f t="shared" si="30"/>
        <v>2.1999999999999957</v>
      </c>
      <c r="W18">
        <f t="shared" si="31"/>
        <v>2.2000000000000002</v>
      </c>
      <c r="X18" s="56">
        <f>IF($G18=0,"",RANK(W18,W$7:W$26)+COUNTIF(W$7:W18,W18)-1)</f>
        <v>8</v>
      </c>
      <c r="Y18" s="57">
        <f t="shared" si="6"/>
        <v>17</v>
      </c>
      <c r="Z18" s="57">
        <f t="shared" si="48"/>
        <v>12</v>
      </c>
      <c r="AA18" s="57">
        <f t="shared" si="7"/>
        <v>2</v>
      </c>
      <c r="AB18" s="59">
        <f t="shared" si="49"/>
        <v>12</v>
      </c>
      <c r="AC18" t="str">
        <f t="shared" si="8"/>
        <v>Paraguay</v>
      </c>
      <c r="AD18" s="60">
        <f t="shared" si="9"/>
        <v>49.5</v>
      </c>
      <c r="AE18" s="60">
        <f t="shared" si="32"/>
        <v>-0.10000000000000142</v>
      </c>
      <c r="AF18" s="60">
        <f t="shared" si="33"/>
        <v>-0.1</v>
      </c>
      <c r="AH18">
        <f t="shared" ca="1" si="10"/>
        <v>50</v>
      </c>
      <c r="AI18">
        <f t="shared" ca="1" si="11"/>
        <v>50</v>
      </c>
      <c r="AJ18">
        <f t="shared" si="34"/>
        <v>0</v>
      </c>
      <c r="AK18">
        <f t="shared" si="35"/>
        <v>0</v>
      </c>
      <c r="AL18" s="56">
        <f>IF($G18=0,"",RANK(AK18,AK$7:AK$26)+COUNTIF(AK$7:AK18,AK18)-1)</f>
        <v>9</v>
      </c>
      <c r="AM18" s="57">
        <f t="shared" si="12"/>
        <v>15</v>
      </c>
      <c r="AN18" s="57">
        <f t="shared" si="50"/>
        <v>11</v>
      </c>
      <c r="AO18" s="57">
        <f t="shared" si="13"/>
        <v>2</v>
      </c>
      <c r="AP18" s="59" t="str">
        <f t="shared" si="51"/>
        <v>=11</v>
      </c>
      <c r="AQ18" t="str">
        <f t="shared" si="14"/>
        <v>Nicaragua</v>
      </c>
      <c r="AR18" s="60">
        <f t="shared" si="15"/>
        <v>56.3</v>
      </c>
      <c r="AS18" s="60">
        <f t="shared" si="36"/>
        <v>0</v>
      </c>
      <c r="AT18" s="60" t="str">
        <f t="shared" si="37"/>
        <v>-</v>
      </c>
      <c r="AU18" s="60"/>
      <c r="AV18">
        <f t="shared" ca="1" si="16"/>
        <v>29.7</v>
      </c>
      <c r="AW18">
        <f t="shared" ca="1" si="17"/>
        <v>35.5</v>
      </c>
      <c r="AX18">
        <f t="shared" si="38"/>
        <v>-5.8000000000000007</v>
      </c>
      <c r="AY18">
        <f t="shared" si="39"/>
        <v>-5.8</v>
      </c>
      <c r="AZ18" s="56">
        <f>IF($G18=0,"",RANK(AY18,AY$7:AY$26)+COUNTIF(AY$7:AY18,AY18)-1)</f>
        <v>20</v>
      </c>
      <c r="BA18" s="57">
        <f t="shared" si="18"/>
        <v>4</v>
      </c>
      <c r="BB18" s="57">
        <f t="shared" si="52"/>
        <v>12</v>
      </c>
      <c r="BC18" s="57">
        <f t="shared" si="19"/>
        <v>2</v>
      </c>
      <c r="BD18" s="59">
        <f t="shared" si="53"/>
        <v>12</v>
      </c>
      <c r="BE18" t="str">
        <f t="shared" si="20"/>
        <v>Chile</v>
      </c>
      <c r="BF18" s="60">
        <f t="shared" si="21"/>
        <v>73.3</v>
      </c>
      <c r="BG18" s="60">
        <f t="shared" si="40"/>
        <v>-0.90000000000000568</v>
      </c>
      <c r="BH18" s="60">
        <f t="shared" si="41"/>
        <v>-0.9</v>
      </c>
      <c r="BJ18">
        <f t="shared" ca="1" si="22"/>
        <v>58.3</v>
      </c>
      <c r="BK18">
        <f t="shared" ca="1" si="23"/>
        <v>50</v>
      </c>
      <c r="BL18">
        <f t="shared" si="42"/>
        <v>8.2999999999999972</v>
      </c>
      <c r="BM18">
        <f t="shared" si="43"/>
        <v>8.3000000000000007</v>
      </c>
      <c r="BN18" s="56">
        <f>IF($G18=0,"",RANK(BM18,BM$7:BM$26)+COUNTIF(BM$7:BM18,BM18)-1)</f>
        <v>3</v>
      </c>
      <c r="BO18" s="57">
        <f t="shared" si="24"/>
        <v>10</v>
      </c>
      <c r="BP18" s="57">
        <f t="shared" si="54"/>
        <v>12</v>
      </c>
      <c r="BQ18" s="57">
        <f t="shared" si="25"/>
        <v>2</v>
      </c>
      <c r="BR18" s="59">
        <f t="shared" si="55"/>
        <v>12</v>
      </c>
      <c r="BS18" t="str">
        <f t="shared" si="26"/>
        <v>Guatemala</v>
      </c>
      <c r="BT18" s="60">
        <f t="shared" si="27"/>
        <v>58.3</v>
      </c>
      <c r="BU18" s="60">
        <f t="shared" si="44"/>
        <v>0</v>
      </c>
      <c r="BV18" s="60" t="str">
        <f t="shared" si="45"/>
        <v>-</v>
      </c>
    </row>
    <row r="19" spans="1:74">
      <c r="A19">
        <v>13</v>
      </c>
      <c r="B19">
        <f ca="1">tblCountries!A86</f>
        <v>26</v>
      </c>
      <c r="C19" t="str">
        <f ca="1">tblCountries!B86</f>
        <v>JM</v>
      </c>
      <c r="D19" t="str">
        <f ca="1">tblCountries!C86</f>
        <v>Jamaica</v>
      </c>
      <c r="E19" s="5">
        <v>2</v>
      </c>
      <c r="G19" s="5">
        <f t="shared" si="28"/>
        <v>2</v>
      </c>
      <c r="H19">
        <f t="shared" ca="1" si="29"/>
        <v>2</v>
      </c>
      <c r="K19" s="56">
        <f>IF($G19=0,"",RANK(H19,H$7:H$26)+COUNTIF(H$7:H19,H19)-1)</f>
        <v>7</v>
      </c>
      <c r="L19" s="57">
        <f t="shared" si="0"/>
        <v>1</v>
      </c>
      <c r="M19" s="57">
        <f t="shared" si="46"/>
        <v>13</v>
      </c>
      <c r="N19" s="57">
        <f t="shared" si="1"/>
        <v>3</v>
      </c>
      <c r="O19" s="59" t="str">
        <f t="shared" si="47"/>
        <v>=13</v>
      </c>
      <c r="P19" t="str">
        <f t="shared" si="2"/>
        <v>Argentina</v>
      </c>
      <c r="Q19" s="60">
        <f t="shared" si="3"/>
        <v>0</v>
      </c>
      <c r="T19">
        <f t="shared" ca="1" si="4"/>
        <v>23.7</v>
      </c>
      <c r="U19">
        <f t="shared" ca="1" si="5"/>
        <v>21.2</v>
      </c>
      <c r="V19">
        <f t="shared" si="30"/>
        <v>2.5</v>
      </c>
      <c r="W19">
        <f t="shared" si="31"/>
        <v>2.5</v>
      </c>
      <c r="X19" s="56">
        <f>IF($G19=0,"",RANK(W19,W$7:W$26)+COUNTIF(W$7:W19,W19)-1)</f>
        <v>4</v>
      </c>
      <c r="Y19" s="57">
        <f t="shared" si="6"/>
        <v>14</v>
      </c>
      <c r="Z19" s="57">
        <f t="shared" si="48"/>
        <v>13</v>
      </c>
      <c r="AA19" s="57">
        <f t="shared" si="7"/>
        <v>2</v>
      </c>
      <c r="AB19" s="59">
        <f t="shared" si="49"/>
        <v>13</v>
      </c>
      <c r="AC19" t="str">
        <f t="shared" si="8"/>
        <v>Mexico</v>
      </c>
      <c r="AD19" s="60">
        <f t="shared" si="9"/>
        <v>47.3</v>
      </c>
      <c r="AE19" s="60">
        <f t="shared" si="32"/>
        <v>-0.20000000000000284</v>
      </c>
      <c r="AF19" s="60">
        <f t="shared" si="33"/>
        <v>-0.2</v>
      </c>
      <c r="AH19">
        <f t="shared" ca="1" si="10"/>
        <v>25</v>
      </c>
      <c r="AI19">
        <f t="shared" ca="1" si="11"/>
        <v>25</v>
      </c>
      <c r="AJ19">
        <f t="shared" si="34"/>
        <v>0</v>
      </c>
      <c r="AK19">
        <f t="shared" si="35"/>
        <v>0</v>
      </c>
      <c r="AL19" s="56">
        <f>IF($G19=0,"",RANK(AK19,AK$7:AK$26)+COUNTIF(AK$7:AK19,AK19)-1)</f>
        <v>10</v>
      </c>
      <c r="AM19" s="57">
        <f t="shared" si="12"/>
        <v>16</v>
      </c>
      <c r="AN19" s="57">
        <f t="shared" si="50"/>
        <v>11</v>
      </c>
      <c r="AO19" s="57">
        <f t="shared" si="13"/>
        <v>2</v>
      </c>
      <c r="AP19" s="59" t="str">
        <f t="shared" si="51"/>
        <v>=11</v>
      </c>
      <c r="AQ19" t="str">
        <f t="shared" si="14"/>
        <v>Panama</v>
      </c>
      <c r="AR19" s="60">
        <f t="shared" si="15"/>
        <v>56.3</v>
      </c>
      <c r="AS19" s="60">
        <f t="shared" si="36"/>
        <v>0</v>
      </c>
      <c r="AT19" s="60" t="str">
        <f t="shared" si="37"/>
        <v>-</v>
      </c>
      <c r="AU19" s="60"/>
      <c r="AV19">
        <f t="shared" ca="1" si="16"/>
        <v>51.7</v>
      </c>
      <c r="AW19">
        <f t="shared" ca="1" si="17"/>
        <v>55.8</v>
      </c>
      <c r="AX19">
        <f t="shared" si="38"/>
        <v>-4.0999999999999943</v>
      </c>
      <c r="AY19">
        <f t="shared" si="39"/>
        <v>-4.0999999999999996</v>
      </c>
      <c r="AZ19" s="56">
        <f>IF($G19=0,"",RANK(AY19,AY$7:AY$26)+COUNTIF(AY$7:AY19,AY19)-1)</f>
        <v>16</v>
      </c>
      <c r="BA19" s="57">
        <f t="shared" si="18"/>
        <v>6</v>
      </c>
      <c r="BB19" s="57">
        <f t="shared" si="52"/>
        <v>13</v>
      </c>
      <c r="BC19" s="57">
        <f t="shared" si="19"/>
        <v>2</v>
      </c>
      <c r="BD19" s="59">
        <f t="shared" si="53"/>
        <v>13</v>
      </c>
      <c r="BE19" t="str">
        <f t="shared" si="20"/>
        <v>Costa Rica</v>
      </c>
      <c r="BF19" s="60">
        <f t="shared" si="21"/>
        <v>58.1</v>
      </c>
      <c r="BG19" s="60">
        <f t="shared" si="40"/>
        <v>-1.6000000000000014</v>
      </c>
      <c r="BH19" s="60">
        <f t="shared" si="41"/>
        <v>-1.6</v>
      </c>
      <c r="BJ19">
        <f t="shared" ca="1" si="22"/>
        <v>8.3000000000000007</v>
      </c>
      <c r="BK19">
        <f t="shared" ca="1" si="23"/>
        <v>0</v>
      </c>
      <c r="BL19">
        <f t="shared" si="42"/>
        <v>8.3000000000000007</v>
      </c>
      <c r="BM19">
        <f t="shared" si="43"/>
        <v>8.3000000000000007</v>
      </c>
      <c r="BN19" s="56">
        <f>IF($G19=0,"",RANK(BM19,BM$7:BM$26)+COUNTIF(BM$7:BM19,BM19)-1)</f>
        <v>4</v>
      </c>
      <c r="BO19" s="57">
        <f t="shared" si="24"/>
        <v>14</v>
      </c>
      <c r="BP19" s="57">
        <f t="shared" si="54"/>
        <v>13</v>
      </c>
      <c r="BQ19" s="57">
        <f t="shared" si="25"/>
        <v>2</v>
      </c>
      <c r="BR19" s="59">
        <f t="shared" si="55"/>
        <v>13</v>
      </c>
      <c r="BS19" t="str">
        <f t="shared" si="26"/>
        <v>Mexico</v>
      </c>
      <c r="BT19" s="60">
        <f t="shared" si="27"/>
        <v>33.299999999999997</v>
      </c>
      <c r="BU19" s="60">
        <f t="shared" si="44"/>
        <v>0</v>
      </c>
      <c r="BV19" s="60" t="str">
        <f t="shared" si="45"/>
        <v>-</v>
      </c>
    </row>
    <row r="20" spans="1:74">
      <c r="A20">
        <v>14</v>
      </c>
      <c r="B20">
        <f ca="1">tblCountries!A87</f>
        <v>31</v>
      </c>
      <c r="C20" t="str">
        <f ca="1">tblCountries!B87</f>
        <v>MX</v>
      </c>
      <c r="D20" t="str">
        <f ca="1">tblCountries!C87</f>
        <v>Mexico</v>
      </c>
      <c r="E20" s="5">
        <v>2</v>
      </c>
      <c r="G20" s="5">
        <f t="shared" si="28"/>
        <v>2</v>
      </c>
      <c r="H20">
        <f t="shared" ca="1" si="29"/>
        <v>3</v>
      </c>
      <c r="K20" s="56">
        <f>IF($G20=0,"",RANK(H20,H$7:H$26)+COUNTIF(H$7:H20,H20)-1)</f>
        <v>2</v>
      </c>
      <c r="L20" s="57">
        <f t="shared" si="0"/>
        <v>2</v>
      </c>
      <c r="M20" s="57">
        <f t="shared" si="46"/>
        <v>13</v>
      </c>
      <c r="N20" s="57">
        <f t="shared" si="1"/>
        <v>2</v>
      </c>
      <c r="O20" s="59" t="str">
        <f t="shared" si="47"/>
        <v>=13</v>
      </c>
      <c r="P20" t="str">
        <f t="shared" si="2"/>
        <v>Bolivia</v>
      </c>
      <c r="Q20" s="60">
        <f t="shared" si="3"/>
        <v>0</v>
      </c>
      <c r="T20">
        <f t="shared" ca="1" si="4"/>
        <v>47.3</v>
      </c>
      <c r="U20">
        <f t="shared" ca="1" si="5"/>
        <v>47.5</v>
      </c>
      <c r="V20">
        <f t="shared" si="30"/>
        <v>-0.20000000000000284</v>
      </c>
      <c r="W20">
        <f t="shared" si="31"/>
        <v>-0.2</v>
      </c>
      <c r="X20" s="56">
        <f>IF($G20=0,"",RANK(W20,W$7:W$26)+COUNTIF(W$7:W20,W20)-1)</f>
        <v>13</v>
      </c>
      <c r="Y20" s="57">
        <f t="shared" si="6"/>
        <v>20</v>
      </c>
      <c r="Z20" s="57">
        <f t="shared" si="48"/>
        <v>14</v>
      </c>
      <c r="AA20" s="57">
        <f t="shared" si="7"/>
        <v>2</v>
      </c>
      <c r="AB20" s="59">
        <f t="shared" si="49"/>
        <v>14</v>
      </c>
      <c r="AC20" t="str">
        <f t="shared" si="8"/>
        <v>Venezuela</v>
      </c>
      <c r="AD20" s="60">
        <f t="shared" si="9"/>
        <v>24.1</v>
      </c>
      <c r="AE20" s="60">
        <f t="shared" si="32"/>
        <v>-0.89999999999999858</v>
      </c>
      <c r="AF20" s="60">
        <f t="shared" si="33"/>
        <v>-0.9</v>
      </c>
      <c r="AH20">
        <f t="shared" ca="1" si="10"/>
        <v>56.3</v>
      </c>
      <c r="AI20">
        <f t="shared" ca="1" si="11"/>
        <v>56.3</v>
      </c>
      <c r="AJ20">
        <f t="shared" si="34"/>
        <v>0</v>
      </c>
      <c r="AK20">
        <f t="shared" si="35"/>
        <v>0</v>
      </c>
      <c r="AL20" s="56">
        <f>IF($G20=0,"",RANK(AK20,AK$7:AK$26)+COUNTIF(AK$7:AK20,AK20)-1)</f>
        <v>11</v>
      </c>
      <c r="AM20" s="57">
        <f t="shared" si="12"/>
        <v>17</v>
      </c>
      <c r="AN20" s="57">
        <f t="shared" si="50"/>
        <v>14</v>
      </c>
      <c r="AO20" s="57">
        <f t="shared" si="13"/>
        <v>2</v>
      </c>
      <c r="AP20" s="59">
        <f t="shared" si="51"/>
        <v>14</v>
      </c>
      <c r="AQ20" t="str">
        <f t="shared" si="14"/>
        <v>Paraguay</v>
      </c>
      <c r="AR20" s="60">
        <f t="shared" si="15"/>
        <v>62.5</v>
      </c>
      <c r="AS20" s="60">
        <f t="shared" si="36"/>
        <v>0</v>
      </c>
      <c r="AT20" s="60" t="str">
        <f t="shared" si="37"/>
        <v>-</v>
      </c>
      <c r="AU20" s="60"/>
      <c r="AV20">
        <f t="shared" ca="1" si="16"/>
        <v>57.5</v>
      </c>
      <c r="AW20">
        <f t="shared" ca="1" si="17"/>
        <v>58.3</v>
      </c>
      <c r="AX20">
        <f t="shared" si="38"/>
        <v>-0.79999999999999716</v>
      </c>
      <c r="AY20">
        <f t="shared" si="39"/>
        <v>-0.8</v>
      </c>
      <c r="AZ20" s="56">
        <f>IF($G20=0,"",RANK(AY20,AY$7:AY$26)+COUNTIF(AY$7:AY20,AY20)-1)</f>
        <v>10</v>
      </c>
      <c r="BA20" s="57">
        <f t="shared" si="18"/>
        <v>18</v>
      </c>
      <c r="BB20" s="57">
        <f t="shared" si="52"/>
        <v>14</v>
      </c>
      <c r="BC20" s="57">
        <f t="shared" si="19"/>
        <v>2</v>
      </c>
      <c r="BD20" s="59">
        <f t="shared" si="53"/>
        <v>14</v>
      </c>
      <c r="BE20" t="str">
        <f t="shared" si="20"/>
        <v>Peru</v>
      </c>
      <c r="BF20" s="60">
        <f t="shared" si="21"/>
        <v>56.4</v>
      </c>
      <c r="BG20" s="60">
        <f t="shared" si="40"/>
        <v>-1.6000000000000014</v>
      </c>
      <c r="BH20" s="60">
        <f t="shared" si="41"/>
        <v>-1.6</v>
      </c>
      <c r="BJ20">
        <f t="shared" ca="1" si="22"/>
        <v>33.299999999999997</v>
      </c>
      <c r="BK20">
        <f t="shared" ca="1" si="23"/>
        <v>33.299999999999997</v>
      </c>
      <c r="BL20">
        <f t="shared" si="42"/>
        <v>0</v>
      </c>
      <c r="BM20">
        <f t="shared" si="43"/>
        <v>0</v>
      </c>
      <c r="BN20" s="56">
        <f>IF($G20=0,"",RANK(BM20,BM$7:BM$26)+COUNTIF(BM$7:BM20,BM20)-1)</f>
        <v>13</v>
      </c>
      <c r="BO20" s="57">
        <f t="shared" si="24"/>
        <v>15</v>
      </c>
      <c r="BP20" s="57">
        <f t="shared" si="54"/>
        <v>14</v>
      </c>
      <c r="BQ20" s="57">
        <f t="shared" si="25"/>
        <v>2</v>
      </c>
      <c r="BR20" s="59">
        <f t="shared" si="55"/>
        <v>14</v>
      </c>
      <c r="BS20" t="str">
        <f t="shared" si="26"/>
        <v>Nicaragua</v>
      </c>
      <c r="BT20" s="60">
        <f t="shared" si="27"/>
        <v>66.7</v>
      </c>
      <c r="BU20" s="60">
        <f t="shared" si="44"/>
        <v>0</v>
      </c>
      <c r="BV20" s="60" t="str">
        <f t="shared" si="45"/>
        <v>-</v>
      </c>
    </row>
    <row r="21" spans="1:74">
      <c r="A21">
        <v>15</v>
      </c>
      <c r="B21">
        <f ca="1">tblCountries!A88</f>
        <v>36</v>
      </c>
      <c r="C21" t="str">
        <f ca="1">tblCountries!B88</f>
        <v>NI</v>
      </c>
      <c r="D21" t="str">
        <f ca="1">tblCountries!C88</f>
        <v>Nicaragua</v>
      </c>
      <c r="E21" s="5">
        <v>2</v>
      </c>
      <c r="G21" s="5">
        <f t="shared" si="28"/>
        <v>2</v>
      </c>
      <c r="H21">
        <f t="shared" ca="1" si="29"/>
        <v>2</v>
      </c>
      <c r="K21" s="56">
        <f>IF($G21=0,"",RANK(H21,H$7:H$26)+COUNTIF(H$7:H21,H21)-1)</f>
        <v>8</v>
      </c>
      <c r="L21" s="57">
        <f t="shared" si="0"/>
        <v>3</v>
      </c>
      <c r="M21" s="57">
        <f t="shared" si="46"/>
        <v>13</v>
      </c>
      <c r="N21" s="57">
        <f t="shared" si="1"/>
        <v>2</v>
      </c>
      <c r="O21" s="59" t="str">
        <f t="shared" si="47"/>
        <v>=13</v>
      </c>
      <c r="P21" t="str">
        <f t="shared" si="2"/>
        <v>Brazil</v>
      </c>
      <c r="Q21" s="60">
        <f t="shared" si="3"/>
        <v>0</v>
      </c>
      <c r="T21">
        <f t="shared" ca="1" si="4"/>
        <v>58.7</v>
      </c>
      <c r="U21">
        <f t="shared" ca="1" si="5"/>
        <v>58</v>
      </c>
      <c r="V21">
        <f t="shared" si="30"/>
        <v>0.70000000000000284</v>
      </c>
      <c r="W21">
        <f t="shared" si="31"/>
        <v>0.7</v>
      </c>
      <c r="X21" s="56">
        <f>IF($G21=0,"",RANK(W21,W$7:W$26)+COUNTIF(W$7:W21,W21)-1)</f>
        <v>9</v>
      </c>
      <c r="Y21" s="57">
        <f t="shared" si="6"/>
        <v>7</v>
      </c>
      <c r="Z21" s="57">
        <f t="shared" si="48"/>
        <v>15</v>
      </c>
      <c r="AA21" s="57">
        <f t="shared" si="7"/>
        <v>2</v>
      </c>
      <c r="AB21" s="59">
        <f t="shared" si="49"/>
        <v>15</v>
      </c>
      <c r="AC21" t="str">
        <f t="shared" si="8"/>
        <v>Dominican Republic</v>
      </c>
      <c r="AD21" s="60">
        <f t="shared" si="9"/>
        <v>47</v>
      </c>
      <c r="AE21" s="60">
        <f t="shared" si="32"/>
        <v>-1</v>
      </c>
      <c r="AF21" s="60">
        <f t="shared" si="33"/>
        <v>-1</v>
      </c>
      <c r="AH21">
        <f t="shared" ca="1" si="10"/>
        <v>56.3</v>
      </c>
      <c r="AI21">
        <f t="shared" ca="1" si="11"/>
        <v>56.3</v>
      </c>
      <c r="AJ21">
        <f t="shared" si="34"/>
        <v>0</v>
      </c>
      <c r="AK21">
        <f t="shared" si="35"/>
        <v>0</v>
      </c>
      <c r="AL21" s="56">
        <f>IF($G21=0,"",RANK(AK21,AK$7:AK$26)+COUNTIF(AK$7:AK21,AK21)-1)</f>
        <v>12</v>
      </c>
      <c r="AM21" s="57">
        <f t="shared" si="12"/>
        <v>19</v>
      </c>
      <c r="AN21" s="57">
        <f t="shared" si="50"/>
        <v>15</v>
      </c>
      <c r="AO21" s="57">
        <f t="shared" si="13"/>
        <v>2</v>
      </c>
      <c r="AP21" s="59">
        <f t="shared" si="51"/>
        <v>15</v>
      </c>
      <c r="AQ21" t="str">
        <f t="shared" si="14"/>
        <v>Uruguay</v>
      </c>
      <c r="AR21" s="60">
        <f t="shared" si="15"/>
        <v>31.3</v>
      </c>
      <c r="AS21" s="60">
        <f t="shared" si="36"/>
        <v>0</v>
      </c>
      <c r="AT21" s="60" t="str">
        <f t="shared" si="37"/>
        <v>-</v>
      </c>
      <c r="AU21" s="60"/>
      <c r="AV21">
        <f t="shared" ca="1" si="16"/>
        <v>47.5</v>
      </c>
      <c r="AW21">
        <f t="shared" ca="1" si="17"/>
        <v>44.2</v>
      </c>
      <c r="AX21">
        <f t="shared" si="38"/>
        <v>3.2999999999999972</v>
      </c>
      <c r="AY21">
        <f t="shared" si="39"/>
        <v>3.3</v>
      </c>
      <c r="AZ21" s="56">
        <f>IF($G21=0,"",RANK(AY21,AY$7:AY$26)+COUNTIF(AY$7:AY21,AY21)-1)</f>
        <v>1</v>
      </c>
      <c r="BA21" s="57">
        <f t="shared" si="18"/>
        <v>9</v>
      </c>
      <c r="BB21" s="57">
        <f t="shared" si="52"/>
        <v>15</v>
      </c>
      <c r="BC21" s="57">
        <f t="shared" si="19"/>
        <v>2</v>
      </c>
      <c r="BD21" s="59">
        <f t="shared" si="53"/>
        <v>15</v>
      </c>
      <c r="BE21" t="str">
        <f t="shared" si="20"/>
        <v>El Salvador</v>
      </c>
      <c r="BF21" s="60">
        <f t="shared" si="21"/>
        <v>45.8</v>
      </c>
      <c r="BG21" s="60">
        <f t="shared" si="40"/>
        <v>-3.4000000000000057</v>
      </c>
      <c r="BH21" s="60">
        <f t="shared" si="41"/>
        <v>-3.4</v>
      </c>
      <c r="BJ21">
        <f t="shared" ca="1" si="22"/>
        <v>66.7</v>
      </c>
      <c r="BK21">
        <f t="shared" ca="1" si="23"/>
        <v>66.7</v>
      </c>
      <c r="BL21">
        <f t="shared" si="42"/>
        <v>0</v>
      </c>
      <c r="BM21">
        <f t="shared" si="43"/>
        <v>0</v>
      </c>
      <c r="BN21" s="56">
        <f>IF($G21=0,"",RANK(BM21,BM$7:BM$26)+COUNTIF(BM$7:BM21,BM21)-1)</f>
        <v>14</v>
      </c>
      <c r="BO21" s="57">
        <f t="shared" si="24"/>
        <v>17</v>
      </c>
      <c r="BP21" s="57">
        <f t="shared" si="54"/>
        <v>15</v>
      </c>
      <c r="BQ21" s="57">
        <f t="shared" si="25"/>
        <v>2</v>
      </c>
      <c r="BR21" s="59">
        <f t="shared" si="55"/>
        <v>15</v>
      </c>
      <c r="BS21" t="str">
        <f t="shared" si="26"/>
        <v>Paraguay</v>
      </c>
      <c r="BT21" s="60">
        <f t="shared" si="27"/>
        <v>41.7</v>
      </c>
      <c r="BU21" s="60">
        <f t="shared" si="44"/>
        <v>0</v>
      </c>
      <c r="BV21" s="60" t="str">
        <f t="shared" si="45"/>
        <v>-</v>
      </c>
    </row>
    <row r="22" spans="1:74">
      <c r="A22">
        <v>16</v>
      </c>
      <c r="B22">
        <f ca="1">tblCountries!A89</f>
        <v>39</v>
      </c>
      <c r="C22" t="str">
        <f ca="1">tblCountries!B89</f>
        <v>PA</v>
      </c>
      <c r="D22" t="str">
        <f ca="1">tblCountries!C89</f>
        <v>Panama</v>
      </c>
      <c r="E22" s="5">
        <v>2</v>
      </c>
      <c r="G22" s="5">
        <f t="shared" si="28"/>
        <v>2</v>
      </c>
      <c r="H22">
        <f t="shared" ca="1" si="29"/>
        <v>2</v>
      </c>
      <c r="K22" s="56">
        <f>IF($G22=0,"",RANK(H22,H$7:H$26)+COUNTIF(H$7:H22,H22)-1)</f>
        <v>9</v>
      </c>
      <c r="L22" s="57">
        <f t="shared" si="0"/>
        <v>4</v>
      </c>
      <c r="M22" s="57">
        <f t="shared" si="46"/>
        <v>13</v>
      </c>
      <c r="N22" s="57">
        <f t="shared" si="1"/>
        <v>2</v>
      </c>
      <c r="O22" s="59" t="str">
        <f t="shared" si="47"/>
        <v>=13</v>
      </c>
      <c r="P22" t="str">
        <f t="shared" si="2"/>
        <v>Chile</v>
      </c>
      <c r="Q22" s="60">
        <f t="shared" si="3"/>
        <v>0</v>
      </c>
      <c r="T22">
        <f t="shared" ca="1" si="4"/>
        <v>50.9</v>
      </c>
      <c r="U22">
        <f t="shared" ca="1" si="5"/>
        <v>47.5</v>
      </c>
      <c r="V22">
        <f t="shared" si="30"/>
        <v>3.3999999999999986</v>
      </c>
      <c r="W22">
        <f t="shared" si="31"/>
        <v>3.4</v>
      </c>
      <c r="X22" s="56">
        <f>IF($G22=0,"",RANK(W22,W$7:W$26)+COUNTIF(W$7:W22,W22)-1)</f>
        <v>2</v>
      </c>
      <c r="Y22" s="57">
        <f t="shared" si="6"/>
        <v>9</v>
      </c>
      <c r="Z22" s="57">
        <f t="shared" si="48"/>
        <v>16</v>
      </c>
      <c r="AA22" s="57">
        <f t="shared" si="7"/>
        <v>2</v>
      </c>
      <c r="AB22" s="59">
        <f t="shared" si="49"/>
        <v>16</v>
      </c>
      <c r="AC22" t="str">
        <f t="shared" si="8"/>
        <v>El Salvador</v>
      </c>
      <c r="AD22" s="60">
        <f t="shared" si="9"/>
        <v>57.5</v>
      </c>
      <c r="AE22" s="60">
        <f t="shared" si="32"/>
        <v>-1.5</v>
      </c>
      <c r="AF22" s="60">
        <f t="shared" si="33"/>
        <v>-1.5</v>
      </c>
      <c r="AH22">
        <f t="shared" ca="1" si="10"/>
        <v>56.3</v>
      </c>
      <c r="AI22">
        <f t="shared" ca="1" si="11"/>
        <v>56.3</v>
      </c>
      <c r="AJ22">
        <f t="shared" si="34"/>
        <v>0</v>
      </c>
      <c r="AK22">
        <f t="shared" si="35"/>
        <v>0</v>
      </c>
      <c r="AL22" s="56">
        <f>IF($G22=0,"",RANK(AK22,AK$7:AK$26)+COUNTIF(AK$7:AK22,AK22)-1)</f>
        <v>13</v>
      </c>
      <c r="AM22" s="57">
        <f t="shared" si="12"/>
        <v>20</v>
      </c>
      <c r="AN22" s="57">
        <f t="shared" si="50"/>
        <v>16</v>
      </c>
      <c r="AO22" s="57">
        <f t="shared" si="13"/>
        <v>2</v>
      </c>
      <c r="AP22" s="59">
        <f t="shared" si="51"/>
        <v>16</v>
      </c>
      <c r="AQ22" t="str">
        <f t="shared" si="14"/>
        <v>Venezuela</v>
      </c>
      <c r="AR22" s="60">
        <f t="shared" si="15"/>
        <v>25</v>
      </c>
      <c r="AS22" s="60">
        <f t="shared" si="36"/>
        <v>0</v>
      </c>
      <c r="AT22" s="60" t="str">
        <f t="shared" si="37"/>
        <v>-</v>
      </c>
      <c r="AU22" s="60"/>
      <c r="AV22">
        <f t="shared" ca="1" si="16"/>
        <v>58.3</v>
      </c>
      <c r="AW22">
        <f t="shared" ca="1" si="17"/>
        <v>58.3</v>
      </c>
      <c r="AX22">
        <f t="shared" si="38"/>
        <v>0</v>
      </c>
      <c r="AY22">
        <f t="shared" si="39"/>
        <v>0</v>
      </c>
      <c r="AZ22" s="56">
        <f>IF($G22=0,"",RANK(AY22,AY$7:AY$26)+COUNTIF(AY$7:AY22,AY22)-1)</f>
        <v>5</v>
      </c>
      <c r="BA22" s="57">
        <f t="shared" si="18"/>
        <v>13</v>
      </c>
      <c r="BB22" s="57">
        <f t="shared" si="52"/>
        <v>16</v>
      </c>
      <c r="BC22" s="57">
        <f t="shared" si="19"/>
        <v>2</v>
      </c>
      <c r="BD22" s="59">
        <f t="shared" si="53"/>
        <v>16</v>
      </c>
      <c r="BE22" t="str">
        <f t="shared" si="20"/>
        <v>Jamaica</v>
      </c>
      <c r="BF22" s="60">
        <f t="shared" si="21"/>
        <v>51.7</v>
      </c>
      <c r="BG22" s="60">
        <f t="shared" si="40"/>
        <v>-4.0999999999999943</v>
      </c>
      <c r="BH22" s="60">
        <f t="shared" si="41"/>
        <v>-4.0999999999999996</v>
      </c>
      <c r="BJ22">
        <f t="shared" ca="1" si="22"/>
        <v>41.7</v>
      </c>
      <c r="BK22">
        <f t="shared" ca="1" si="23"/>
        <v>33.299999999999997</v>
      </c>
      <c r="BL22">
        <f t="shared" si="42"/>
        <v>8.4000000000000057</v>
      </c>
      <c r="BM22">
        <f t="shared" si="43"/>
        <v>8.4</v>
      </c>
      <c r="BN22" s="56">
        <f>IF($G22=0,"",RANK(BM22,BM$7:BM$26)+COUNTIF(BM$7:BM22,BM22)-1)</f>
        <v>1</v>
      </c>
      <c r="BO22" s="57">
        <f t="shared" si="24"/>
        <v>18</v>
      </c>
      <c r="BP22" s="57">
        <f t="shared" si="54"/>
        <v>16</v>
      </c>
      <c r="BQ22" s="57">
        <f t="shared" si="25"/>
        <v>2</v>
      </c>
      <c r="BR22" s="59">
        <f t="shared" si="55"/>
        <v>16</v>
      </c>
      <c r="BS22" t="str">
        <f t="shared" si="26"/>
        <v>Peru</v>
      </c>
      <c r="BT22" s="60">
        <f t="shared" si="27"/>
        <v>75</v>
      </c>
      <c r="BU22" s="60">
        <f t="shared" si="44"/>
        <v>0</v>
      </c>
      <c r="BV22" s="60" t="str">
        <f t="shared" si="45"/>
        <v>-</v>
      </c>
    </row>
    <row r="23" spans="1:74">
      <c r="A23">
        <v>17</v>
      </c>
      <c r="B23">
        <f ca="1">tblCountries!A90</f>
        <v>40</v>
      </c>
      <c r="C23" t="str">
        <f ca="1">tblCountries!B90</f>
        <v>PY</v>
      </c>
      <c r="D23" t="str">
        <f ca="1">tblCountries!C90</f>
        <v>Paraguay</v>
      </c>
      <c r="E23" s="5">
        <v>2</v>
      </c>
      <c r="G23" s="5">
        <f t="shared" si="28"/>
        <v>2</v>
      </c>
      <c r="H23">
        <f t="shared" ca="1" si="29"/>
        <v>0</v>
      </c>
      <c r="K23" s="56">
        <f>IF($G23=0,"",RANK(H23,H$7:H$26)+COUNTIF(H$7:H23,H23)-1)</f>
        <v>19</v>
      </c>
      <c r="L23" s="57">
        <f t="shared" si="0"/>
        <v>5</v>
      </c>
      <c r="M23" s="57">
        <f t="shared" si="46"/>
        <v>13</v>
      </c>
      <c r="N23" s="57">
        <f t="shared" si="1"/>
        <v>2</v>
      </c>
      <c r="O23" s="59" t="str">
        <f t="shared" si="47"/>
        <v>=13</v>
      </c>
      <c r="P23" t="str">
        <f t="shared" si="2"/>
        <v>Colombia</v>
      </c>
      <c r="Q23" s="60">
        <f t="shared" si="3"/>
        <v>0</v>
      </c>
      <c r="T23">
        <f t="shared" ca="1" si="4"/>
        <v>49.5</v>
      </c>
      <c r="U23">
        <f t="shared" ca="1" si="5"/>
        <v>49.6</v>
      </c>
      <c r="V23">
        <f t="shared" si="30"/>
        <v>-0.10000000000000142</v>
      </c>
      <c r="W23">
        <f t="shared" si="31"/>
        <v>-0.1</v>
      </c>
      <c r="X23" s="56">
        <f>IF($G23=0,"",RANK(W23,W$7:W$26)+COUNTIF(W$7:W23,W23)-1)</f>
        <v>12</v>
      </c>
      <c r="Y23" s="57">
        <f t="shared" si="6"/>
        <v>10</v>
      </c>
      <c r="Z23" s="57">
        <f t="shared" si="48"/>
        <v>17</v>
      </c>
      <c r="AA23" s="57">
        <f t="shared" si="7"/>
        <v>2</v>
      </c>
      <c r="AB23" s="59">
        <f t="shared" si="49"/>
        <v>17</v>
      </c>
      <c r="AC23" t="str">
        <f t="shared" si="8"/>
        <v>Guatemala</v>
      </c>
      <c r="AD23" s="60">
        <f t="shared" si="9"/>
        <v>51.8</v>
      </c>
      <c r="AE23" s="60">
        <f t="shared" si="32"/>
        <v>-2.2000000000000028</v>
      </c>
      <c r="AF23" s="60">
        <f t="shared" si="33"/>
        <v>-2.2000000000000002</v>
      </c>
      <c r="AH23">
        <f t="shared" ca="1" si="10"/>
        <v>62.5</v>
      </c>
      <c r="AI23">
        <f t="shared" ca="1" si="11"/>
        <v>62.5</v>
      </c>
      <c r="AJ23">
        <f t="shared" si="34"/>
        <v>0</v>
      </c>
      <c r="AK23">
        <f t="shared" si="35"/>
        <v>0</v>
      </c>
      <c r="AL23" s="56">
        <f>IF($G23=0,"",RANK(AK23,AK$7:AK$26)+COUNTIF(AK$7:AK23,AK23)-1)</f>
        <v>14</v>
      </c>
      <c r="AM23" s="57">
        <f t="shared" si="12"/>
        <v>2</v>
      </c>
      <c r="AN23" s="57">
        <f t="shared" si="50"/>
        <v>17</v>
      </c>
      <c r="AO23" s="57">
        <f t="shared" si="13"/>
        <v>2</v>
      </c>
      <c r="AP23" s="59">
        <f t="shared" si="51"/>
        <v>17</v>
      </c>
      <c r="AQ23" t="str">
        <f t="shared" si="14"/>
        <v>Bolivia</v>
      </c>
      <c r="AR23" s="60">
        <f t="shared" si="15"/>
        <v>81.3</v>
      </c>
      <c r="AS23" s="60">
        <f t="shared" si="36"/>
        <v>-6.2000000000000028</v>
      </c>
      <c r="AT23" s="60">
        <f t="shared" si="37"/>
        <v>-6.2</v>
      </c>
      <c r="AU23" s="60"/>
      <c r="AV23">
        <f t="shared" ca="1" si="16"/>
        <v>38.9</v>
      </c>
      <c r="AW23">
        <f t="shared" ca="1" si="17"/>
        <v>39.700000000000003</v>
      </c>
      <c r="AX23">
        <f t="shared" si="38"/>
        <v>-0.80000000000000426</v>
      </c>
      <c r="AY23">
        <f t="shared" si="39"/>
        <v>-0.8</v>
      </c>
      <c r="AZ23" s="56">
        <f>IF($G23=0,"",RANK(AY23,AY$7:AY$26)+COUNTIF(AY$7:AY23,AY23)-1)</f>
        <v>11</v>
      </c>
      <c r="BA23" s="57">
        <f t="shared" si="18"/>
        <v>8</v>
      </c>
      <c r="BB23" s="57">
        <f t="shared" si="52"/>
        <v>17</v>
      </c>
      <c r="BC23" s="57">
        <f t="shared" si="19"/>
        <v>2</v>
      </c>
      <c r="BD23" s="59">
        <f t="shared" si="53"/>
        <v>17</v>
      </c>
      <c r="BE23" t="str">
        <f t="shared" si="20"/>
        <v>Ecuador</v>
      </c>
      <c r="BF23" s="60">
        <f t="shared" si="21"/>
        <v>27.5</v>
      </c>
      <c r="BG23" s="60">
        <f t="shared" si="40"/>
        <v>-4.1999999999999993</v>
      </c>
      <c r="BH23" s="60">
        <f t="shared" si="41"/>
        <v>-4.2</v>
      </c>
      <c r="BJ23">
        <f t="shared" ca="1" si="22"/>
        <v>41.7</v>
      </c>
      <c r="BK23">
        <f t="shared" ca="1" si="23"/>
        <v>41.7</v>
      </c>
      <c r="BL23">
        <f t="shared" si="42"/>
        <v>0</v>
      </c>
      <c r="BM23">
        <f t="shared" si="43"/>
        <v>0</v>
      </c>
      <c r="BN23" s="56">
        <f>IF($G23=0,"",RANK(BM23,BM$7:BM$26)+COUNTIF(BM$7:BM23,BM23)-1)</f>
        <v>15</v>
      </c>
      <c r="BO23" s="57">
        <f t="shared" si="24"/>
        <v>19</v>
      </c>
      <c r="BP23" s="57">
        <f t="shared" si="54"/>
        <v>17</v>
      </c>
      <c r="BQ23" s="57">
        <f t="shared" si="25"/>
        <v>2</v>
      </c>
      <c r="BR23" s="59" t="str">
        <f t="shared" si="55"/>
        <v>=17</v>
      </c>
      <c r="BS23" t="str">
        <f t="shared" si="26"/>
        <v>Uruguay</v>
      </c>
      <c r="BT23" s="60">
        <f t="shared" si="27"/>
        <v>16.7</v>
      </c>
      <c r="BU23" s="60">
        <f t="shared" si="44"/>
        <v>0</v>
      </c>
      <c r="BV23" s="60" t="str">
        <f t="shared" si="45"/>
        <v>-</v>
      </c>
    </row>
    <row r="24" spans="1:74">
      <c r="A24">
        <v>18</v>
      </c>
      <c r="B24">
        <f ca="1">tblCountries!A91</f>
        <v>41</v>
      </c>
      <c r="C24" t="str">
        <f ca="1">tblCountries!B91</f>
        <v>PE</v>
      </c>
      <c r="D24" t="str">
        <f ca="1">tblCountries!C91</f>
        <v>Peru</v>
      </c>
      <c r="E24" s="5">
        <v>2</v>
      </c>
      <c r="G24" s="5">
        <f t="shared" si="28"/>
        <v>2</v>
      </c>
      <c r="H24">
        <f t="shared" ca="1" si="29"/>
        <v>3</v>
      </c>
      <c r="K24" s="56">
        <f>IF($G24=0,"",RANK(H24,H$7:H$26)+COUNTIF(H$7:H24,H24)-1)</f>
        <v>3</v>
      </c>
      <c r="L24" s="57">
        <f t="shared" si="0"/>
        <v>10</v>
      </c>
      <c r="M24" s="57">
        <f t="shared" si="46"/>
        <v>13</v>
      </c>
      <c r="N24" s="57">
        <f t="shared" si="1"/>
        <v>2</v>
      </c>
      <c r="O24" s="59" t="str">
        <f t="shared" si="47"/>
        <v>=13</v>
      </c>
      <c r="P24" t="str">
        <f t="shared" si="2"/>
        <v>Guatemala</v>
      </c>
      <c r="Q24" s="60">
        <f t="shared" si="3"/>
        <v>0</v>
      </c>
      <c r="T24">
        <f t="shared" ca="1" si="4"/>
        <v>73.8</v>
      </c>
      <c r="U24">
        <f t="shared" ca="1" si="5"/>
        <v>76.599999999999994</v>
      </c>
      <c r="V24">
        <f t="shared" si="30"/>
        <v>-2.7999999999999972</v>
      </c>
      <c r="W24">
        <f t="shared" si="31"/>
        <v>-2.8</v>
      </c>
      <c r="X24" s="56">
        <f>IF($G24=0,"",RANK(W24,W$7:W$26)+COUNTIF(W$7:W24,W24)-1)</f>
        <v>19</v>
      </c>
      <c r="Y24" s="57">
        <f t="shared" si="6"/>
        <v>2</v>
      </c>
      <c r="Z24" s="57">
        <f t="shared" si="48"/>
        <v>18</v>
      </c>
      <c r="AA24" s="57">
        <f t="shared" si="7"/>
        <v>2</v>
      </c>
      <c r="AB24" s="59">
        <f t="shared" si="49"/>
        <v>18</v>
      </c>
      <c r="AC24" t="str">
        <f t="shared" si="8"/>
        <v>Bolivia</v>
      </c>
      <c r="AD24" s="60">
        <f t="shared" si="9"/>
        <v>71.7</v>
      </c>
      <c r="AE24" s="60">
        <f t="shared" si="32"/>
        <v>-2.7000000000000028</v>
      </c>
      <c r="AF24" s="60">
        <f t="shared" si="33"/>
        <v>-2.7</v>
      </c>
      <c r="AH24">
        <f t="shared" ca="1" si="10"/>
        <v>81.3</v>
      </c>
      <c r="AI24">
        <f t="shared" ca="1" si="11"/>
        <v>87.5</v>
      </c>
      <c r="AJ24">
        <f t="shared" si="34"/>
        <v>-6.2000000000000028</v>
      </c>
      <c r="AK24">
        <f t="shared" si="35"/>
        <v>-6.2</v>
      </c>
      <c r="AL24" s="56">
        <f>IF($G24=0,"",RANK(AK24,AK$7:AK$26)+COUNTIF(AK$7:AK24,AK24)-1)</f>
        <v>19</v>
      </c>
      <c r="AM24" s="57">
        <f t="shared" si="12"/>
        <v>8</v>
      </c>
      <c r="AN24" s="57">
        <f t="shared" si="50"/>
        <v>18</v>
      </c>
      <c r="AO24" s="57">
        <f t="shared" si="13"/>
        <v>2</v>
      </c>
      <c r="AP24" s="59">
        <f t="shared" si="51"/>
        <v>18</v>
      </c>
      <c r="AQ24" t="str">
        <f t="shared" si="14"/>
        <v>Ecuador</v>
      </c>
      <c r="AR24" s="60">
        <f t="shared" si="15"/>
        <v>68.8</v>
      </c>
      <c r="AS24" s="60">
        <f t="shared" si="36"/>
        <v>-6.2000000000000028</v>
      </c>
      <c r="AT24" s="60">
        <f t="shared" si="37"/>
        <v>-6.2</v>
      </c>
      <c r="AU24" s="60"/>
      <c r="AV24">
        <f t="shared" ca="1" si="16"/>
        <v>56.4</v>
      </c>
      <c r="AW24">
        <f t="shared" ca="1" si="17"/>
        <v>58</v>
      </c>
      <c r="AX24">
        <f t="shared" si="38"/>
        <v>-1.6000000000000014</v>
      </c>
      <c r="AY24">
        <f t="shared" si="39"/>
        <v>-1.6</v>
      </c>
      <c r="AZ24" s="56">
        <f>IF($G24=0,"",RANK(AY24,AY$7:AY$26)+COUNTIF(AY$7:AY24,AY24)-1)</f>
        <v>14</v>
      </c>
      <c r="BA24" s="57">
        <f t="shared" si="18"/>
        <v>20</v>
      </c>
      <c r="BB24" s="57">
        <f t="shared" si="52"/>
        <v>18</v>
      </c>
      <c r="BC24" s="57">
        <f t="shared" si="19"/>
        <v>2</v>
      </c>
      <c r="BD24" s="59">
        <f t="shared" si="53"/>
        <v>18</v>
      </c>
      <c r="BE24" t="str">
        <f t="shared" si="20"/>
        <v>Venezuela</v>
      </c>
      <c r="BF24" s="60">
        <f t="shared" si="21"/>
        <v>37.200000000000003</v>
      </c>
      <c r="BG24" s="60">
        <f t="shared" si="40"/>
        <v>-4.1999999999999957</v>
      </c>
      <c r="BH24" s="60">
        <f t="shared" si="41"/>
        <v>-4.2</v>
      </c>
      <c r="BJ24">
        <f t="shared" ca="1" si="22"/>
        <v>75</v>
      </c>
      <c r="BK24">
        <f t="shared" ca="1" si="23"/>
        <v>75</v>
      </c>
      <c r="BL24">
        <f t="shared" si="42"/>
        <v>0</v>
      </c>
      <c r="BM24">
        <f t="shared" si="43"/>
        <v>0</v>
      </c>
      <c r="BN24" s="56">
        <f>IF($G24=0,"",RANK(BM24,BM$7:BM$26)+COUNTIF(BM$7:BM24,BM24)-1)</f>
        <v>16</v>
      </c>
      <c r="BO24" s="57">
        <f t="shared" si="24"/>
        <v>20</v>
      </c>
      <c r="BP24" s="57">
        <f t="shared" si="54"/>
        <v>17</v>
      </c>
      <c r="BQ24" s="57">
        <f t="shared" si="25"/>
        <v>2</v>
      </c>
      <c r="BR24" s="59" t="str">
        <f t="shared" si="55"/>
        <v>=17</v>
      </c>
      <c r="BS24" t="str">
        <f t="shared" si="26"/>
        <v>Venezuela</v>
      </c>
      <c r="BT24" s="60">
        <f t="shared" si="27"/>
        <v>16.7</v>
      </c>
      <c r="BU24" s="60">
        <f t="shared" si="44"/>
        <v>0</v>
      </c>
      <c r="BV24" s="60" t="str">
        <f t="shared" si="45"/>
        <v>-</v>
      </c>
    </row>
    <row r="25" spans="1:74">
      <c r="A25">
        <v>19</v>
      </c>
      <c r="B25">
        <f ca="1">tblCountries!A92</f>
        <v>52</v>
      </c>
      <c r="C25" t="str">
        <f ca="1">tblCountries!B92</f>
        <v>UY</v>
      </c>
      <c r="D25" t="str">
        <f ca="1">tblCountries!C92</f>
        <v>Uruguay</v>
      </c>
      <c r="E25" s="5">
        <v>2</v>
      </c>
      <c r="G25" s="5">
        <f t="shared" si="28"/>
        <v>2</v>
      </c>
      <c r="H25">
        <f t="shared" ca="1" si="29"/>
        <v>1</v>
      </c>
      <c r="K25" s="56">
        <f>IF($G25=0,"",RANK(H25,H$7:H$26)+COUNTIF(H$7:H25,H25)-1)</f>
        <v>12</v>
      </c>
      <c r="L25" s="57">
        <f t="shared" si="0"/>
        <v>17</v>
      </c>
      <c r="M25" s="57">
        <f t="shared" si="46"/>
        <v>13</v>
      </c>
      <c r="N25" s="57">
        <f t="shared" si="1"/>
        <v>2</v>
      </c>
      <c r="O25" s="59" t="str">
        <f t="shared" si="47"/>
        <v>=13</v>
      </c>
      <c r="P25" t="str">
        <f t="shared" si="2"/>
        <v>Paraguay</v>
      </c>
      <c r="Q25" s="60">
        <f t="shared" si="3"/>
        <v>0</v>
      </c>
      <c r="T25">
        <f t="shared" ca="1" si="4"/>
        <v>28.4</v>
      </c>
      <c r="U25">
        <f t="shared" ca="1" si="5"/>
        <v>28.4</v>
      </c>
      <c r="V25">
        <f t="shared" si="30"/>
        <v>0</v>
      </c>
      <c r="W25">
        <f t="shared" si="31"/>
        <v>0</v>
      </c>
      <c r="X25" s="56">
        <f>IF($G25=0,"",RANK(W25,W$7:W$26)+COUNTIF(W$7:W25,W25)-1)</f>
        <v>11</v>
      </c>
      <c r="Y25" s="57">
        <f t="shared" si="6"/>
        <v>18</v>
      </c>
      <c r="Z25" s="57">
        <f t="shared" si="48"/>
        <v>19</v>
      </c>
      <c r="AA25" s="57">
        <f t="shared" si="7"/>
        <v>2</v>
      </c>
      <c r="AB25" s="59">
        <f t="shared" si="49"/>
        <v>19</v>
      </c>
      <c r="AC25" t="str">
        <f t="shared" si="8"/>
        <v>Peru</v>
      </c>
      <c r="AD25" s="60">
        <f t="shared" si="9"/>
        <v>73.8</v>
      </c>
      <c r="AE25" s="60">
        <f t="shared" si="32"/>
        <v>-2.7999999999999972</v>
      </c>
      <c r="AF25" s="60">
        <f t="shared" si="33"/>
        <v>-2.8</v>
      </c>
      <c r="AH25">
        <f t="shared" ca="1" si="10"/>
        <v>31.3</v>
      </c>
      <c r="AI25">
        <f t="shared" ca="1" si="11"/>
        <v>31.3</v>
      </c>
      <c r="AJ25">
        <f t="shared" si="34"/>
        <v>0</v>
      </c>
      <c r="AK25">
        <f t="shared" si="35"/>
        <v>0</v>
      </c>
      <c r="AL25" s="56">
        <f>IF($G25=0,"",RANK(AK25,AK$7:AK$26)+COUNTIF(AK$7:AK25,AK25)-1)</f>
        <v>15</v>
      </c>
      <c r="AM25" s="57">
        <f t="shared" si="12"/>
        <v>18</v>
      </c>
      <c r="AN25" s="57">
        <f t="shared" si="50"/>
        <v>19</v>
      </c>
      <c r="AO25" s="57">
        <f t="shared" si="13"/>
        <v>2</v>
      </c>
      <c r="AP25" s="59">
        <f t="shared" si="51"/>
        <v>19</v>
      </c>
      <c r="AQ25" t="str">
        <f t="shared" si="14"/>
        <v>Peru</v>
      </c>
      <c r="AR25" s="60">
        <f t="shared" si="15"/>
        <v>81.3</v>
      </c>
      <c r="AS25" s="60">
        <f t="shared" si="36"/>
        <v>-6.2000000000000028</v>
      </c>
      <c r="AT25" s="60">
        <f t="shared" si="37"/>
        <v>-6.2</v>
      </c>
      <c r="AU25" s="60"/>
      <c r="AV25">
        <f t="shared" ca="1" si="16"/>
        <v>45.8</v>
      </c>
      <c r="AW25">
        <f t="shared" ca="1" si="17"/>
        <v>45.8</v>
      </c>
      <c r="AX25">
        <f t="shared" si="38"/>
        <v>0</v>
      </c>
      <c r="AY25">
        <f t="shared" si="39"/>
        <v>0</v>
      </c>
      <c r="AZ25" s="56">
        <f>IF($G25=0,"",RANK(AY25,AY$7:AY$26)+COUNTIF(AY$7:AY25,AY25)-1)</f>
        <v>6</v>
      </c>
      <c r="BA25" s="57">
        <f t="shared" si="18"/>
        <v>7</v>
      </c>
      <c r="BB25" s="57">
        <f t="shared" si="52"/>
        <v>19</v>
      </c>
      <c r="BC25" s="57">
        <f t="shared" si="19"/>
        <v>2</v>
      </c>
      <c r="BD25" s="59">
        <f t="shared" si="53"/>
        <v>19</v>
      </c>
      <c r="BE25" t="str">
        <f t="shared" si="20"/>
        <v>Dominican Republic</v>
      </c>
      <c r="BF25" s="60">
        <f t="shared" si="21"/>
        <v>35</v>
      </c>
      <c r="BG25" s="60">
        <f t="shared" si="40"/>
        <v>-5</v>
      </c>
      <c r="BH25" s="60">
        <f t="shared" si="41"/>
        <v>-5</v>
      </c>
      <c r="BJ25">
        <f t="shared" ca="1" si="22"/>
        <v>16.7</v>
      </c>
      <c r="BK25">
        <f t="shared" ca="1" si="23"/>
        <v>16.7</v>
      </c>
      <c r="BL25">
        <f t="shared" si="42"/>
        <v>0</v>
      </c>
      <c r="BM25">
        <f t="shared" si="43"/>
        <v>0</v>
      </c>
      <c r="BN25" s="56">
        <f>IF($G25=0,"",RANK(BM25,BM$7:BM$26)+COUNTIF(BM$7:BM25,BM25)-1)</f>
        <v>17</v>
      </c>
      <c r="BO25" s="57">
        <f t="shared" si="24"/>
        <v>9</v>
      </c>
      <c r="BP25" s="57">
        <f t="shared" si="54"/>
        <v>19</v>
      </c>
      <c r="BQ25" s="57">
        <f t="shared" si="25"/>
        <v>2</v>
      </c>
      <c r="BR25" s="59">
        <f t="shared" si="55"/>
        <v>19</v>
      </c>
      <c r="BS25" t="str">
        <f t="shared" si="26"/>
        <v>El Salvador</v>
      </c>
      <c r="BT25" s="60">
        <f t="shared" si="27"/>
        <v>58.3</v>
      </c>
      <c r="BU25" s="60">
        <f t="shared" si="44"/>
        <v>-8.4000000000000057</v>
      </c>
      <c r="BV25" s="60">
        <f t="shared" si="45"/>
        <v>-8.4</v>
      </c>
    </row>
    <row r="26" spans="1:74">
      <c r="A26">
        <v>20</v>
      </c>
      <c r="B26">
        <f ca="1">tblCountries!A93</f>
        <v>53</v>
      </c>
      <c r="C26" t="str">
        <f ca="1">tblCountries!B93</f>
        <v>VE</v>
      </c>
      <c r="D26" t="str">
        <f ca="1">tblCountries!C93</f>
        <v>Venezuela</v>
      </c>
      <c r="E26" s="5">
        <v>2</v>
      </c>
      <c r="G26" s="5">
        <f t="shared" si="28"/>
        <v>2</v>
      </c>
      <c r="H26">
        <f t="shared" ca="1" si="29"/>
        <v>0</v>
      </c>
      <c r="K26" s="56">
        <f>IF($G26=0,"",RANK(H26,H$7:H$26)+COUNTIF(H$7:H26,H26)-1)</f>
        <v>20</v>
      </c>
      <c r="L26" s="57">
        <f t="shared" si="0"/>
        <v>20</v>
      </c>
      <c r="M26" s="57">
        <f t="shared" si="46"/>
        <v>13</v>
      </c>
      <c r="N26" s="57">
        <f t="shared" si="1"/>
        <v>2</v>
      </c>
      <c r="O26" s="59" t="e">
        <f>IF(N26=0,"",IF(OR(M26=M25,M26=#REF!),CONCATENATE("=",M26),M26))</f>
        <v>#REF!</v>
      </c>
      <c r="P26" t="str">
        <f t="shared" si="2"/>
        <v>Venezuela</v>
      </c>
      <c r="Q26" s="60">
        <f t="shared" si="3"/>
        <v>0</v>
      </c>
      <c r="T26">
        <f t="shared" ca="1" si="4"/>
        <v>24.1</v>
      </c>
      <c r="U26">
        <f t="shared" ca="1" si="5"/>
        <v>25</v>
      </c>
      <c r="V26">
        <f t="shared" si="30"/>
        <v>-0.89999999999999858</v>
      </c>
      <c r="W26">
        <f t="shared" si="31"/>
        <v>-0.9</v>
      </c>
      <c r="X26" s="56">
        <f>IF($G26=0,"",RANK(W26,W$7:W$26)+COUNTIF(W$7:W26,W26)-1)</f>
        <v>14</v>
      </c>
      <c r="Y26" s="57">
        <f t="shared" si="6"/>
        <v>8</v>
      </c>
      <c r="Z26" s="57">
        <f t="shared" si="48"/>
        <v>20</v>
      </c>
      <c r="AA26" s="57">
        <f t="shared" si="7"/>
        <v>2</v>
      </c>
      <c r="AB26" s="59">
        <f t="shared" si="49"/>
        <v>20</v>
      </c>
      <c r="AC26" t="str">
        <f t="shared" si="8"/>
        <v>Ecuador</v>
      </c>
      <c r="AD26" s="60">
        <f t="shared" si="9"/>
        <v>59.7</v>
      </c>
      <c r="AE26" s="60">
        <f t="shared" si="32"/>
        <v>-10</v>
      </c>
      <c r="AF26" s="60">
        <f t="shared" si="33"/>
        <v>-10</v>
      </c>
      <c r="AH26">
        <f t="shared" ca="1" si="10"/>
        <v>25</v>
      </c>
      <c r="AI26">
        <f t="shared" ca="1" si="11"/>
        <v>25</v>
      </c>
      <c r="AJ26">
        <f t="shared" si="34"/>
        <v>0</v>
      </c>
      <c r="AK26">
        <f t="shared" si="35"/>
        <v>0</v>
      </c>
      <c r="AL26" s="56">
        <f>IF($G26=0,"",RANK(AK26,AK$7:AK$26)+COUNTIF(AK$7:AK26,AK26)-1)</f>
        <v>16</v>
      </c>
      <c r="AM26" s="57">
        <f t="shared" si="12"/>
        <v>10</v>
      </c>
      <c r="AN26" s="57">
        <f t="shared" si="50"/>
        <v>20</v>
      </c>
      <c r="AO26" s="57">
        <f t="shared" si="13"/>
        <v>2</v>
      </c>
      <c r="AP26" s="59">
        <f t="shared" si="51"/>
        <v>20</v>
      </c>
      <c r="AQ26" t="str">
        <f t="shared" si="14"/>
        <v>Guatemala</v>
      </c>
      <c r="AR26" s="60">
        <f t="shared" si="15"/>
        <v>50</v>
      </c>
      <c r="AS26" s="60">
        <f t="shared" si="36"/>
        <v>-6.2999999999999972</v>
      </c>
      <c r="AT26" s="60">
        <f t="shared" si="37"/>
        <v>-6.3</v>
      </c>
      <c r="AU26" s="60"/>
      <c r="AV26">
        <f t="shared" ca="1" si="16"/>
        <v>37.200000000000003</v>
      </c>
      <c r="AW26">
        <f t="shared" ca="1" si="17"/>
        <v>41.4</v>
      </c>
      <c r="AX26">
        <f t="shared" si="38"/>
        <v>-4.1999999999999957</v>
      </c>
      <c r="AY26">
        <f t="shared" si="39"/>
        <v>-4.2</v>
      </c>
      <c r="AZ26" s="56">
        <f>IF($G26=0,"",RANK(AY26,AY$7:AY$26)+COUNTIF(AY$7:AY26,AY26)-1)</f>
        <v>18</v>
      </c>
      <c r="BA26" s="57">
        <f t="shared" si="18"/>
        <v>12</v>
      </c>
      <c r="BB26" s="57">
        <f t="shared" si="52"/>
        <v>20</v>
      </c>
      <c r="BC26" s="57">
        <f t="shared" si="19"/>
        <v>2</v>
      </c>
      <c r="BD26" s="59">
        <f t="shared" si="53"/>
        <v>20</v>
      </c>
      <c r="BE26" t="str">
        <f t="shared" si="20"/>
        <v>Honduras</v>
      </c>
      <c r="BF26" s="60">
        <f t="shared" si="21"/>
        <v>29.7</v>
      </c>
      <c r="BG26" s="60">
        <f t="shared" si="40"/>
        <v>-5.8000000000000007</v>
      </c>
      <c r="BH26" s="60">
        <f t="shared" si="41"/>
        <v>-5.8</v>
      </c>
      <c r="BJ26">
        <f t="shared" ca="1" si="22"/>
        <v>16.7</v>
      </c>
      <c r="BK26">
        <f t="shared" ca="1" si="23"/>
        <v>16.7</v>
      </c>
      <c r="BL26">
        <f t="shared" si="42"/>
        <v>0</v>
      </c>
      <c r="BM26">
        <f t="shared" si="43"/>
        <v>0</v>
      </c>
      <c r="BN26" s="56">
        <f>IF($G26=0,"",RANK(BM26,BM$7:BM$26)+COUNTIF(BM$7:BM26,BM26)-1)</f>
        <v>18</v>
      </c>
      <c r="BO26" s="57">
        <f t="shared" si="24"/>
        <v>8</v>
      </c>
      <c r="BP26" s="57">
        <f t="shared" si="54"/>
        <v>20</v>
      </c>
      <c r="BQ26" s="57">
        <f t="shared" si="25"/>
        <v>2</v>
      </c>
      <c r="BR26" s="59">
        <f t="shared" si="55"/>
        <v>20</v>
      </c>
      <c r="BS26" t="str">
        <f t="shared" si="26"/>
        <v>Ecuador</v>
      </c>
      <c r="BT26" s="60">
        <f t="shared" si="27"/>
        <v>66.7</v>
      </c>
      <c r="BU26" s="60">
        <f t="shared" si="44"/>
        <v>-16.599999999999994</v>
      </c>
      <c r="BV26" s="60">
        <f t="shared" si="45"/>
        <v>-16.600000000000001</v>
      </c>
    </row>
    <row r="27" spans="1:74">
      <c r="B27">
        <f ca="1">tblCountries!A94</f>
        <v>0</v>
      </c>
    </row>
  </sheetData>
  <phoneticPr fontId="68"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sheetPr codeName="Sheet14"/>
  <dimension ref="A1:W66"/>
  <sheetViews>
    <sheetView showGridLines="0" showRowColHeaders="0" zoomScale="80" zoomScaleNormal="80" workbookViewId="0">
      <selection activeCell="C37" sqref="C37"/>
    </sheetView>
  </sheetViews>
  <sheetFormatPr defaultRowHeight="12.75"/>
  <cols>
    <col min="1" max="1" width="1.42578125" customWidth="1"/>
    <col min="2" max="2" width="30.7109375" customWidth="1"/>
    <col min="3" max="3" width="1.140625" customWidth="1"/>
    <col min="4" max="4" width="2.85546875" customWidth="1"/>
    <col min="5" max="5" width="3.5703125" hidden="1" customWidth="1"/>
    <col min="6" max="6" width="4.140625" bestFit="1" customWidth="1"/>
    <col min="7" max="7" width="17.85546875" bestFit="1" customWidth="1"/>
    <col min="9" max="9" width="4.85546875" customWidth="1"/>
    <col min="10" max="10" width="3.85546875" hidden="1" customWidth="1"/>
    <col min="11" max="11" width="4.140625" bestFit="1" customWidth="1"/>
    <col min="12" max="12" width="17.85546875" bestFit="1" customWidth="1"/>
    <col min="14" max="14" width="4" customWidth="1"/>
    <col min="15" max="15" width="9.140625" hidden="1" customWidth="1"/>
    <col min="16" max="16" width="4.140625" bestFit="1" customWidth="1"/>
    <col min="17" max="17" width="17.85546875" bestFit="1" customWidth="1"/>
    <col min="19" max="19" width="4.7109375" customWidth="1"/>
    <col min="20" max="20" width="4.140625" hidden="1" customWidth="1"/>
    <col min="21" max="21" width="4.140625" bestFit="1" customWidth="1"/>
    <col min="22" max="22" width="17.85546875" bestFit="1" customWidth="1"/>
  </cols>
  <sheetData>
    <row r="1" spans="1:23" ht="21">
      <c r="A1" s="123" t="s">
        <v>1092</v>
      </c>
      <c r="B1" s="122"/>
      <c r="C1" s="121"/>
      <c r="L1" s="116"/>
      <c r="Q1" s="116"/>
      <c r="V1" s="116"/>
    </row>
    <row r="2" spans="1:23" ht="18.75">
      <c r="A2" s="26"/>
      <c r="B2" s="33"/>
      <c r="C2" s="27"/>
      <c r="D2" s="84"/>
      <c r="E2" s="85"/>
      <c r="F2" s="132"/>
      <c r="G2" s="124" t="str">
        <f ca="1">tblIndByType!C2</f>
        <v>Overall score</v>
      </c>
      <c r="H2" s="125"/>
      <c r="I2" s="84"/>
      <c r="J2" s="85"/>
      <c r="K2" s="137"/>
      <c r="L2" s="133" t="str">
        <f ca="1">tblIndByType!C3</f>
        <v xml:space="preserve">Regulatory Framework </v>
      </c>
      <c r="M2" s="134"/>
      <c r="N2" s="84"/>
      <c r="O2" s="85"/>
      <c r="P2" s="137"/>
      <c r="Q2" s="133" t="str">
        <f ca="1">tblIndByType!C4</f>
        <v>Investment Climate</v>
      </c>
      <c r="R2" s="134"/>
      <c r="S2" s="84"/>
      <c r="T2" s="85"/>
      <c r="U2" s="133" t="str">
        <f ca="1">tblIndByType!C5</f>
        <v>Institutional Development</v>
      </c>
      <c r="V2" s="134"/>
      <c r="W2" s="134"/>
    </row>
    <row r="3" spans="1:23">
      <c r="A3" s="26"/>
      <c r="B3" s="113" t="s">
        <v>1084</v>
      </c>
      <c r="C3" s="27"/>
      <c r="E3" s="86" t="str">
        <f ca="1">i_rank_i!AS6</f>
        <v>DS</v>
      </c>
      <c r="F3" s="126"/>
      <c r="G3" s="130" t="s">
        <v>729</v>
      </c>
      <c r="H3" s="131" t="str">
        <f ca="1">i_rank_i!AV6</f>
        <v>Score</v>
      </c>
      <c r="J3" s="86" t="str">
        <f ca="1">i_rank_i!BB6</f>
        <v>DS</v>
      </c>
      <c r="K3" s="135"/>
      <c r="L3" s="136" t="s">
        <v>729</v>
      </c>
      <c r="M3" s="135" t="str">
        <f ca="1">i_rank_i!BE6</f>
        <v>Score</v>
      </c>
      <c r="O3" s="86" t="str">
        <f ca="1">i_rank_i!BK6</f>
        <v>DS</v>
      </c>
      <c r="P3" s="135"/>
      <c r="Q3" s="136" t="s">
        <v>729</v>
      </c>
      <c r="R3" s="135" t="str">
        <f ca="1">i_rank_i!BN6</f>
        <v>Score</v>
      </c>
      <c r="T3" s="86" t="str">
        <f ca="1">i_rank_i!BT6</f>
        <v>DS</v>
      </c>
      <c r="U3" s="135"/>
      <c r="V3" s="136" t="s">
        <v>729</v>
      </c>
      <c r="W3" s="135" t="str">
        <f ca="1">i_rank_i!BW6</f>
        <v>Score</v>
      </c>
    </row>
    <row r="4" spans="1:23">
      <c r="A4" s="26"/>
      <c r="B4" s="34"/>
      <c r="C4" s="27"/>
      <c r="E4" s="88">
        <f ca="1">i_rank_i!AS7</f>
        <v>2</v>
      </c>
      <c r="F4" s="127">
        <f ca="1">i_rank_i!AT7</f>
        <v>1</v>
      </c>
      <c r="G4" s="128" t="str">
        <f ca="1">i_rank_i!AU7</f>
        <v>Peru</v>
      </c>
      <c r="H4" s="129">
        <f ca="1">i_rank_i!AV7</f>
        <v>73.8</v>
      </c>
      <c r="J4" s="88">
        <f ca="1">i_rank_i!BB7</f>
        <v>2</v>
      </c>
      <c r="K4" s="127" t="str">
        <f ca="1">i_rank_i!BC7</f>
        <v>=1</v>
      </c>
      <c r="L4" s="128" t="str">
        <f ca="1">i_rank_i!BD7</f>
        <v>Cambodia</v>
      </c>
      <c r="M4" s="129">
        <f ca="1">i_rank_i!BE7</f>
        <v>87.5</v>
      </c>
      <c r="O4" s="88">
        <f ca="1">i_rank_i!BK7</f>
        <v>2</v>
      </c>
      <c r="P4" s="127">
        <f ca="1">i_rank_i!BL7</f>
        <v>1</v>
      </c>
      <c r="Q4" s="128" t="str">
        <f ca="1">i_rank_i!BM7</f>
        <v>Chile</v>
      </c>
      <c r="R4" s="129">
        <f ca="1">i_rank_i!BN7</f>
        <v>73.3</v>
      </c>
      <c r="T4" s="88">
        <f ca="1">i_rank_i!BT7</f>
        <v>2</v>
      </c>
      <c r="U4" s="127" t="str">
        <f ca="1">i_rank_i!BU7</f>
        <v>=1</v>
      </c>
      <c r="V4" s="128" t="str">
        <f ca="1">i_rank_i!BV7</f>
        <v>Bolivia</v>
      </c>
      <c r="W4" s="129">
        <f ca="1">i_rank_i!BW7</f>
        <v>75</v>
      </c>
    </row>
    <row r="5" spans="1:23">
      <c r="A5" s="26"/>
      <c r="B5" s="113"/>
      <c r="C5" s="27"/>
      <c r="E5" s="88">
        <f ca="1">i_rank_i!AS8</f>
        <v>2</v>
      </c>
      <c r="F5" s="127">
        <f ca="1">i_rank_i!AT8</f>
        <v>2</v>
      </c>
      <c r="G5" s="128" t="str">
        <f ca="1">i_rank_i!AU8</f>
        <v>Bolivia</v>
      </c>
      <c r="H5" s="129">
        <f ca="1">i_rank_i!AV8</f>
        <v>71.7</v>
      </c>
      <c r="J5" s="88">
        <f ca="1">i_rank_i!BB8</f>
        <v>2</v>
      </c>
      <c r="K5" s="127" t="str">
        <f ca="1">i_rank_i!BC8</f>
        <v>=1</v>
      </c>
      <c r="L5" s="128" t="str">
        <f ca="1">i_rank_i!BD8</f>
        <v>Philippines</v>
      </c>
      <c r="M5" s="129">
        <f ca="1">i_rank_i!BE8</f>
        <v>87.5</v>
      </c>
      <c r="O5" s="88">
        <f ca="1">i_rank_i!BK8</f>
        <v>2</v>
      </c>
      <c r="P5" s="127">
        <f ca="1">i_rank_i!BL8</f>
        <v>2</v>
      </c>
      <c r="Q5" s="128" t="str">
        <f ca="1">i_rank_i!BM8</f>
        <v>Turkey</v>
      </c>
      <c r="R5" s="129">
        <f ca="1">i_rank_i!BN8</f>
        <v>68.099999999999994</v>
      </c>
      <c r="T5" s="88">
        <f ca="1">i_rank_i!BT8</f>
        <v>2</v>
      </c>
      <c r="U5" s="127" t="str">
        <f ca="1">i_rank_i!BU8</f>
        <v>=1</v>
      </c>
      <c r="V5" s="128" t="str">
        <f ca="1">i_rank_i!BV8</f>
        <v>Peru</v>
      </c>
      <c r="W5" s="129">
        <f ca="1">i_rank_i!BW8</f>
        <v>75</v>
      </c>
    </row>
    <row r="6" spans="1:23">
      <c r="A6" s="26"/>
      <c r="B6" s="26"/>
      <c r="C6" s="27"/>
      <c r="E6" s="88">
        <f ca="1">i_rank_i!AS9</f>
        <v>2</v>
      </c>
      <c r="F6" s="127">
        <f ca="1">i_rank_i!AT9</f>
        <v>3</v>
      </c>
      <c r="G6" s="128" t="str">
        <f ca="1">i_rank_i!AU9</f>
        <v>Philippines</v>
      </c>
      <c r="H6" s="129">
        <f ca="1">i_rank_i!AV9</f>
        <v>68.400000000000006</v>
      </c>
      <c r="J6" s="88">
        <f ca="1">i_rank_i!BB9</f>
        <v>2</v>
      </c>
      <c r="K6" s="127" t="str">
        <f ca="1">i_rank_i!BC9</f>
        <v>=3</v>
      </c>
      <c r="L6" s="128" t="str">
        <f ca="1">i_rank_i!BD9</f>
        <v>Bolivia</v>
      </c>
      <c r="M6" s="129">
        <f ca="1">i_rank_i!BE9</f>
        <v>81.3</v>
      </c>
      <c r="O6" s="88">
        <f ca="1">i_rank_i!BK9</f>
        <v>2</v>
      </c>
      <c r="P6" s="127">
        <f ca="1">i_rank_i!BL9</f>
        <v>3</v>
      </c>
      <c r="Q6" s="128" t="str">
        <f ca="1">i_rank_i!BM9</f>
        <v>Bosnia</v>
      </c>
      <c r="R6" s="129">
        <f ca="1">i_rank_i!BN9</f>
        <v>65.599999999999994</v>
      </c>
      <c r="T6" s="88">
        <f ca="1">i_rank_i!BT9</f>
        <v>2</v>
      </c>
      <c r="U6" s="127" t="str">
        <f ca="1">i_rank_i!BU9</f>
        <v>=3</v>
      </c>
      <c r="V6" s="128" t="str">
        <f ca="1">i_rank_i!BV9</f>
        <v>Ecuador</v>
      </c>
      <c r="W6" s="129">
        <f ca="1">i_rank_i!BW9</f>
        <v>66.7</v>
      </c>
    </row>
    <row r="7" spans="1:23">
      <c r="A7" s="26"/>
      <c r="B7" s="113" t="s">
        <v>1031</v>
      </c>
      <c r="C7" s="27"/>
      <c r="E7" s="88">
        <f ca="1">i_rank_i!AS10</f>
        <v>2</v>
      </c>
      <c r="F7" s="127">
        <f ca="1">i_rank_i!AT10</f>
        <v>4</v>
      </c>
      <c r="G7" s="128" t="str">
        <f ca="1">i_rank_i!AU10</f>
        <v>India</v>
      </c>
      <c r="H7" s="129">
        <f ca="1">i_rank_i!AV10</f>
        <v>62.1</v>
      </c>
      <c r="J7" s="88">
        <f ca="1">i_rank_i!BB10</f>
        <v>2</v>
      </c>
      <c r="K7" s="127" t="str">
        <f ca="1">i_rank_i!BC10</f>
        <v>=3</v>
      </c>
      <c r="L7" s="128" t="str">
        <f ca="1">i_rank_i!BD10</f>
        <v>Kenya</v>
      </c>
      <c r="M7" s="129">
        <f ca="1">i_rank_i!BE10</f>
        <v>81.3</v>
      </c>
      <c r="O7" s="88">
        <f ca="1">i_rank_i!BK10</f>
        <v>2</v>
      </c>
      <c r="P7" s="127">
        <f ca="1">i_rank_i!BL10</f>
        <v>4</v>
      </c>
      <c r="Q7" s="128" t="str">
        <f ca="1">i_rank_i!BM10</f>
        <v>Morocco</v>
      </c>
      <c r="R7" s="129">
        <f ca="1">i_rank_i!BN10</f>
        <v>59.7</v>
      </c>
      <c r="T7" s="88">
        <f ca="1">i_rank_i!BT10</f>
        <v>2</v>
      </c>
      <c r="U7" s="127" t="str">
        <f ca="1">i_rank_i!BU10</f>
        <v>=3</v>
      </c>
      <c r="V7" s="128" t="str">
        <f ca="1">i_rank_i!BV10</f>
        <v>India</v>
      </c>
      <c r="W7" s="129">
        <f ca="1">i_rank_i!BW10</f>
        <v>66.7</v>
      </c>
    </row>
    <row r="8" spans="1:23">
      <c r="A8" s="26"/>
      <c r="B8" s="113"/>
      <c r="C8" s="27"/>
      <c r="E8" s="88">
        <f ca="1">i_rank_i!AS11</f>
        <v>2</v>
      </c>
      <c r="F8" s="127">
        <f ca="1">i_rank_i!AT11</f>
        <v>5</v>
      </c>
      <c r="G8" s="128" t="str">
        <f ca="1">i_rank_i!AU11</f>
        <v>Ghana</v>
      </c>
      <c r="H8" s="129">
        <f ca="1">i_rank_i!AV11</f>
        <v>60.9</v>
      </c>
      <c r="J8" s="88">
        <f ca="1">i_rank_i!BB11</f>
        <v>2</v>
      </c>
      <c r="K8" s="127" t="str">
        <f ca="1">i_rank_i!BC11</f>
        <v>=3</v>
      </c>
      <c r="L8" s="128" t="str">
        <f ca="1">i_rank_i!BD11</f>
        <v>Kyrgyzstan</v>
      </c>
      <c r="M8" s="129">
        <f ca="1">i_rank_i!BE11</f>
        <v>81.3</v>
      </c>
      <c r="O8" s="88">
        <f ca="1">i_rank_i!BK11</f>
        <v>2</v>
      </c>
      <c r="P8" s="127">
        <f ca="1">i_rank_i!BL11</f>
        <v>5</v>
      </c>
      <c r="Q8" s="128" t="str">
        <f ca="1">i_rank_i!BM11</f>
        <v>Panama</v>
      </c>
      <c r="R8" s="129">
        <f ca="1">i_rank_i!BN11</f>
        <v>58.3</v>
      </c>
      <c r="T8" s="88">
        <f ca="1">i_rank_i!BT11</f>
        <v>2</v>
      </c>
      <c r="U8" s="127" t="str">
        <f ca="1">i_rank_i!BU11</f>
        <v>=3</v>
      </c>
      <c r="V8" s="128" t="str">
        <f ca="1">i_rank_i!BV11</f>
        <v>Nicaragua</v>
      </c>
      <c r="W8" s="129">
        <f ca="1">i_rank_i!BW11</f>
        <v>66.7</v>
      </c>
    </row>
    <row r="9" spans="1:23">
      <c r="A9" s="26"/>
      <c r="B9" s="26"/>
      <c r="C9" s="27"/>
      <c r="E9" s="88">
        <f ca="1">i_rank_i!AS12</f>
        <v>2</v>
      </c>
      <c r="F9" s="127">
        <f ca="1">i_rank_i!AT12</f>
        <v>6</v>
      </c>
      <c r="G9" s="128" t="str">
        <f ca="1">i_rank_i!AU12</f>
        <v>Ecuador</v>
      </c>
      <c r="H9" s="129">
        <f ca="1">i_rank_i!AV12</f>
        <v>59.7</v>
      </c>
      <c r="J9" s="88">
        <f ca="1">i_rank_i!BB12</f>
        <v>2</v>
      </c>
      <c r="K9" s="127" t="str">
        <f ca="1">i_rank_i!BC12</f>
        <v>=3</v>
      </c>
      <c r="L9" s="128" t="str">
        <f ca="1">i_rank_i!BD12</f>
        <v>Peru</v>
      </c>
      <c r="M9" s="129">
        <f ca="1">i_rank_i!BE12</f>
        <v>81.3</v>
      </c>
      <c r="O9" s="88">
        <f ca="1">i_rank_i!BK12</f>
        <v>2</v>
      </c>
      <c r="P9" s="127">
        <f ca="1">i_rank_i!BL12</f>
        <v>6</v>
      </c>
      <c r="Q9" s="128" t="str">
        <f ca="1">i_rank_i!BM12</f>
        <v>Costa Rica</v>
      </c>
      <c r="R9" s="129">
        <f ca="1">i_rank_i!BN12</f>
        <v>58.1</v>
      </c>
      <c r="T9" s="88">
        <f ca="1">i_rank_i!BT12</f>
        <v>2</v>
      </c>
      <c r="U9" s="127" t="str">
        <f ca="1">i_rank_i!BU12</f>
        <v>=6</v>
      </c>
      <c r="V9" s="128" t="str">
        <f ca="1">i_rank_i!BV12</f>
        <v>Colombia</v>
      </c>
      <c r="W9" s="129">
        <f ca="1">i_rank_i!BW12</f>
        <v>58.3</v>
      </c>
    </row>
    <row r="10" spans="1:23">
      <c r="A10" s="26"/>
      <c r="B10" s="113" t="s">
        <v>1032</v>
      </c>
      <c r="C10" s="27"/>
      <c r="E10" s="88">
        <f ca="1">i_rank_i!AS13</f>
        <v>2</v>
      </c>
      <c r="F10" s="127">
        <f ca="1">i_rank_i!AT13</f>
        <v>7</v>
      </c>
      <c r="G10" s="128" t="str">
        <f ca="1">i_rank_i!AU13</f>
        <v>Nicaragua</v>
      </c>
      <c r="H10" s="129">
        <f ca="1">i_rank_i!AV13</f>
        <v>58.7</v>
      </c>
      <c r="J10" s="88">
        <f ca="1">i_rank_i!BB13</f>
        <v>2</v>
      </c>
      <c r="K10" s="127" t="str">
        <f ca="1">i_rank_i!BC13</f>
        <v>=7</v>
      </c>
      <c r="L10" s="128" t="str">
        <f ca="1">i_rank_i!BD13</f>
        <v>Ghana</v>
      </c>
      <c r="M10" s="129">
        <f ca="1">i_rank_i!BE13</f>
        <v>75</v>
      </c>
      <c r="O10" s="88">
        <f ca="1">i_rank_i!BK13</f>
        <v>2</v>
      </c>
      <c r="P10" s="127">
        <f ca="1">i_rank_i!BL13</f>
        <v>7</v>
      </c>
      <c r="Q10" s="128" t="str">
        <f ca="1">i_rank_i!BM13</f>
        <v>Mexico</v>
      </c>
      <c r="R10" s="129">
        <f ca="1">i_rank_i!BN13</f>
        <v>57.5</v>
      </c>
      <c r="T10" s="88">
        <f ca="1">i_rank_i!BT13</f>
        <v>2</v>
      </c>
      <c r="U10" s="127" t="str">
        <f ca="1">i_rank_i!BU13</f>
        <v>=6</v>
      </c>
      <c r="V10" s="128" t="str">
        <f ca="1">i_rank_i!BV13</f>
        <v>El Salvador</v>
      </c>
      <c r="W10" s="129">
        <f ca="1">i_rank_i!BW13</f>
        <v>58.3</v>
      </c>
    </row>
    <row r="11" spans="1:23">
      <c r="A11" s="26"/>
      <c r="B11" s="113"/>
      <c r="C11" s="27"/>
      <c r="E11" s="88">
        <f ca="1">i_rank_i!AS14</f>
        <v>2</v>
      </c>
      <c r="F11" s="127">
        <f ca="1">i_rank_i!AT14</f>
        <v>8</v>
      </c>
      <c r="G11" s="128" t="str">
        <f ca="1">i_rank_i!AU14</f>
        <v>Colombia</v>
      </c>
      <c r="H11" s="129">
        <f ca="1">i_rank_i!AV14</f>
        <v>58.6</v>
      </c>
      <c r="J11" s="88">
        <f ca="1">i_rank_i!BB14</f>
        <v>2</v>
      </c>
      <c r="K11" s="127" t="str">
        <f ca="1">i_rank_i!BC14</f>
        <v>=7</v>
      </c>
      <c r="L11" s="128" t="str">
        <f ca="1">i_rank_i!BD14</f>
        <v>Pakistan</v>
      </c>
      <c r="M11" s="129">
        <f ca="1">i_rank_i!BE14</f>
        <v>75</v>
      </c>
      <c r="O11" s="88">
        <f ca="1">i_rank_i!BK14</f>
        <v>2</v>
      </c>
      <c r="P11" s="127">
        <f ca="1">i_rank_i!BL14</f>
        <v>8</v>
      </c>
      <c r="Q11" s="128" t="str">
        <f ca="1">i_rank_i!BM14</f>
        <v>Peru</v>
      </c>
      <c r="R11" s="129">
        <f ca="1">i_rank_i!BN14</f>
        <v>56.4</v>
      </c>
      <c r="T11" s="88">
        <f ca="1">i_rank_i!BT14</f>
        <v>2</v>
      </c>
      <c r="U11" s="127" t="str">
        <f ca="1">i_rank_i!BU14</f>
        <v>=6</v>
      </c>
      <c r="V11" s="128" t="str">
        <f ca="1">i_rank_i!BV14</f>
        <v>Guatemala</v>
      </c>
      <c r="W11" s="129">
        <f ca="1">i_rank_i!BW14</f>
        <v>58.3</v>
      </c>
    </row>
    <row r="12" spans="1:23">
      <c r="A12" s="26"/>
      <c r="B12" s="26"/>
      <c r="C12" s="27"/>
      <c r="E12" s="88">
        <f ca="1">i_rank_i!AS15</f>
        <v>2</v>
      </c>
      <c r="F12" s="127" t="str">
        <f ca="1">i_rank_i!AT15</f>
        <v>=9</v>
      </c>
      <c r="G12" s="128" t="str">
        <f ca="1">i_rank_i!AU15</f>
        <v>El Salvador</v>
      </c>
      <c r="H12" s="129">
        <f ca="1">i_rank_i!AV15</f>
        <v>57.5</v>
      </c>
      <c r="J12" s="88">
        <f ca="1">i_rank_i!BB15</f>
        <v>2</v>
      </c>
      <c r="K12" s="127" t="str">
        <f ca="1">i_rank_i!BC15</f>
        <v>=7</v>
      </c>
      <c r="L12" s="128" t="str">
        <f ca="1">i_rank_i!BD15</f>
        <v>Uganda</v>
      </c>
      <c r="M12" s="129">
        <f ca="1">i_rank_i!BE15</f>
        <v>75</v>
      </c>
      <c r="O12" s="88">
        <f ca="1">i_rank_i!BK15</f>
        <v>2</v>
      </c>
      <c r="P12" s="127">
        <f ca="1">i_rank_i!BL15</f>
        <v>9</v>
      </c>
      <c r="Q12" s="128" t="str">
        <f ca="1">i_rank_i!BM15</f>
        <v>Trinidad and Tobago</v>
      </c>
      <c r="R12" s="129">
        <f ca="1">i_rank_i!BN15</f>
        <v>56.1</v>
      </c>
      <c r="T12" s="88">
        <f ca="1">i_rank_i!BT15</f>
        <v>2</v>
      </c>
      <c r="U12" s="127" t="str">
        <f ca="1">i_rank_i!BU15</f>
        <v>=6</v>
      </c>
      <c r="V12" s="128" t="str">
        <f ca="1">i_rank_i!BV15</f>
        <v>Honduras</v>
      </c>
      <c r="W12" s="129">
        <f ca="1">i_rank_i!BW15</f>
        <v>58.3</v>
      </c>
    </row>
    <row r="13" spans="1:23">
      <c r="A13" s="26"/>
      <c r="B13" s="113" t="s">
        <v>1033</v>
      </c>
      <c r="C13" s="27"/>
      <c r="E13" s="88">
        <f ca="1">i_rank_i!AS16</f>
        <v>2</v>
      </c>
      <c r="F13" s="127" t="str">
        <f ca="1">i_rank_i!AT16</f>
        <v>=9</v>
      </c>
      <c r="G13" s="128" t="str">
        <f ca="1">i_rank_i!AU16</f>
        <v>Uganda</v>
      </c>
      <c r="H13" s="129">
        <f ca="1">i_rank_i!AV16</f>
        <v>57.5</v>
      </c>
      <c r="J13" s="88">
        <f ca="1">i_rank_i!BB16</f>
        <v>2</v>
      </c>
      <c r="K13" s="127" t="str">
        <f ca="1">i_rank_i!BC16</f>
        <v>=10</v>
      </c>
      <c r="L13" s="128" t="str">
        <f ca="1">i_rank_i!BD16</f>
        <v>Ecuador</v>
      </c>
      <c r="M13" s="129">
        <f ca="1">i_rank_i!BE16</f>
        <v>68.8</v>
      </c>
      <c r="O13" s="88">
        <f ca="1">i_rank_i!BK16</f>
        <v>2</v>
      </c>
      <c r="P13" s="127">
        <f ca="1">i_rank_i!BL16</f>
        <v>10</v>
      </c>
      <c r="Q13" s="128" t="str">
        <f ca="1">i_rank_i!BM16</f>
        <v>Ghana</v>
      </c>
      <c r="R13" s="129">
        <f ca="1">i_rank_i!BN16</f>
        <v>54.4</v>
      </c>
      <c r="T13" s="88">
        <f ca="1">i_rank_i!BT16</f>
        <v>2</v>
      </c>
      <c r="U13" s="127" t="str">
        <f ca="1">i_rank_i!BU16</f>
        <v>=6</v>
      </c>
      <c r="V13" s="128" t="str">
        <f ca="1">i_rank_i!BV16</f>
        <v>Philippines</v>
      </c>
      <c r="W13" s="129">
        <f ca="1">i_rank_i!BW16</f>
        <v>58.3</v>
      </c>
    </row>
    <row r="14" spans="1:23">
      <c r="A14" s="26"/>
      <c r="B14" s="113"/>
      <c r="C14" s="27"/>
      <c r="E14" s="88">
        <f ca="1">i_rank_i!AS17</f>
        <v>2</v>
      </c>
      <c r="F14" s="127">
        <f ca="1">i_rank_i!AT17</f>
        <v>11</v>
      </c>
      <c r="G14" s="128" t="str">
        <f ca="1">i_rank_i!AU17</f>
        <v>Pakistan</v>
      </c>
      <c r="H14" s="129">
        <f ca="1">i_rank_i!AV17</f>
        <v>56.5</v>
      </c>
      <c r="J14" s="88">
        <f ca="1">i_rank_i!BB17</f>
        <v>2</v>
      </c>
      <c r="K14" s="127" t="str">
        <f ca="1">i_rank_i!BC17</f>
        <v>=10</v>
      </c>
      <c r="L14" s="128" t="str">
        <f ca="1">i_rank_i!BD17</f>
        <v>Tajikistan</v>
      </c>
      <c r="M14" s="129">
        <f ca="1">i_rank_i!BE17</f>
        <v>68.8</v>
      </c>
      <c r="O14" s="88">
        <f ca="1">i_rank_i!BK17</f>
        <v>2</v>
      </c>
      <c r="P14" s="127">
        <f ca="1">i_rank_i!BL17</f>
        <v>11</v>
      </c>
      <c r="Q14" s="128" t="str">
        <f ca="1">i_rank_i!BM17</f>
        <v>Uganda</v>
      </c>
      <c r="R14" s="129">
        <f ca="1">i_rank_i!BN17</f>
        <v>54.2</v>
      </c>
      <c r="T14" s="88">
        <f ca="1">i_rank_i!BT17</f>
        <v>2</v>
      </c>
      <c r="U14" s="127" t="str">
        <f ca="1">i_rank_i!BU17</f>
        <v>=11</v>
      </c>
      <c r="V14" s="128" t="str">
        <f ca="1">i_rank_i!BV17</f>
        <v>Dominican Republic</v>
      </c>
      <c r="W14" s="129">
        <f ca="1">i_rank_i!BW17</f>
        <v>50</v>
      </c>
    </row>
    <row r="15" spans="1:23">
      <c r="A15" s="26"/>
      <c r="B15" s="26"/>
      <c r="C15" s="27"/>
      <c r="E15" s="88">
        <f ca="1">i_rank_i!AS18</f>
        <v>2</v>
      </c>
      <c r="F15" s="127">
        <f ca="1">i_rank_i!AT18</f>
        <v>12</v>
      </c>
      <c r="G15" s="128" t="str">
        <f ca="1">i_rank_i!AU18</f>
        <v>Kyrgyzstan</v>
      </c>
      <c r="H15" s="129">
        <f ca="1">i_rank_i!AV18</f>
        <v>56.2</v>
      </c>
      <c r="J15" s="88">
        <f ca="1">i_rank_i!BB18</f>
        <v>2</v>
      </c>
      <c r="K15" s="127" t="str">
        <f ca="1">i_rank_i!BC18</f>
        <v>=10</v>
      </c>
      <c r="L15" s="128" t="str">
        <f ca="1">i_rank_i!BD18</f>
        <v>Tanzania</v>
      </c>
      <c r="M15" s="129">
        <f ca="1">i_rank_i!BE18</f>
        <v>68.8</v>
      </c>
      <c r="O15" s="88">
        <f ca="1">i_rank_i!BK18</f>
        <v>2</v>
      </c>
      <c r="P15" s="127">
        <f ca="1">i_rank_i!BL18</f>
        <v>12</v>
      </c>
      <c r="Q15" s="128" t="str">
        <f ca="1">i_rank_i!BM18</f>
        <v>Brazil</v>
      </c>
      <c r="R15" s="129">
        <f ca="1">i_rank_i!BN18</f>
        <v>53.6</v>
      </c>
      <c r="T15" s="88">
        <f ca="1">i_rank_i!BT18</f>
        <v>2</v>
      </c>
      <c r="U15" s="127" t="str">
        <f ca="1">i_rank_i!BU18</f>
        <v>=11</v>
      </c>
      <c r="V15" s="128" t="str">
        <f ca="1">i_rank_i!BV18</f>
        <v>Ghana</v>
      </c>
      <c r="W15" s="129">
        <f ca="1">i_rank_i!BW18</f>
        <v>50</v>
      </c>
    </row>
    <row r="16" spans="1:23">
      <c r="A16" s="26"/>
      <c r="B16" s="26"/>
      <c r="C16" s="27"/>
      <c r="E16" s="88">
        <f ca="1">i_rank_i!AS19</f>
        <v>2</v>
      </c>
      <c r="F16" s="127">
        <f ca="1">i_rank_i!AT19</f>
        <v>13</v>
      </c>
      <c r="G16" s="128" t="str">
        <f ca="1">i_rank_i!AU19</f>
        <v>Kenya</v>
      </c>
      <c r="H16" s="129">
        <f ca="1">i_rank_i!AV19</f>
        <v>55.8</v>
      </c>
      <c r="J16" s="88">
        <f ca="1">i_rank_i!BB19</f>
        <v>2</v>
      </c>
      <c r="K16" s="127" t="str">
        <f ca="1">i_rank_i!BC19</f>
        <v>=13</v>
      </c>
      <c r="L16" s="128" t="str">
        <f ca="1">i_rank_i!BD19</f>
        <v>Colombia</v>
      </c>
      <c r="M16" s="129">
        <f ca="1">i_rank_i!BE19</f>
        <v>62.5</v>
      </c>
      <c r="O16" s="88">
        <f ca="1">i_rank_i!BK19</f>
        <v>2</v>
      </c>
      <c r="P16" s="127">
        <f ca="1">i_rank_i!BL19</f>
        <v>13</v>
      </c>
      <c r="Q16" s="128" t="str">
        <f ca="1">i_rank_i!BM19</f>
        <v>Armenia</v>
      </c>
      <c r="R16" s="129">
        <f ca="1">i_rank_i!BN19</f>
        <v>53.1</v>
      </c>
      <c r="T16" s="88">
        <f ca="1">i_rank_i!BT19</f>
        <v>2</v>
      </c>
      <c r="U16" s="127" t="str">
        <f ca="1">i_rank_i!BU19</f>
        <v>=11</v>
      </c>
      <c r="V16" s="128" t="str">
        <f ca="1">i_rank_i!BV19</f>
        <v>Sri Lanka</v>
      </c>
      <c r="W16" s="129">
        <f ca="1">i_rank_i!BW19</f>
        <v>50</v>
      </c>
    </row>
    <row r="17" spans="1:23">
      <c r="A17" s="26"/>
      <c r="B17" s="26"/>
      <c r="C17" s="27"/>
      <c r="E17" s="88">
        <f ca="1">i_rank_i!AS20</f>
        <v>2</v>
      </c>
      <c r="F17" s="127">
        <f ca="1">i_rank_i!AT20</f>
        <v>14</v>
      </c>
      <c r="G17" s="128" t="str">
        <f ca="1">i_rank_i!AU20</f>
        <v>Cambodia</v>
      </c>
      <c r="H17" s="129">
        <f ca="1">i_rank_i!AV20</f>
        <v>54.1</v>
      </c>
      <c r="J17" s="88">
        <f ca="1">i_rank_i!BB20</f>
        <v>2</v>
      </c>
      <c r="K17" s="127" t="str">
        <f ca="1">i_rank_i!BC20</f>
        <v>=13</v>
      </c>
      <c r="L17" s="128" t="str">
        <f ca="1">i_rank_i!BD20</f>
        <v>DRC</v>
      </c>
      <c r="M17" s="129">
        <f ca="1">i_rank_i!BE20</f>
        <v>62.5</v>
      </c>
      <c r="O17" s="88">
        <f ca="1">i_rank_i!BK20</f>
        <v>2</v>
      </c>
      <c r="P17" s="127">
        <f ca="1">i_rank_i!BL20</f>
        <v>14</v>
      </c>
      <c r="Q17" s="128" t="str">
        <f ca="1">i_rank_i!BM20</f>
        <v>India</v>
      </c>
      <c r="R17" s="129">
        <f ca="1">i_rank_i!BN20</f>
        <v>51.9</v>
      </c>
      <c r="T17" s="88">
        <f ca="1">i_rank_i!BT20</f>
        <v>2</v>
      </c>
      <c r="U17" s="127" t="str">
        <f ca="1">i_rank_i!BU20</f>
        <v>=14</v>
      </c>
      <c r="V17" s="128" t="str">
        <f ca="1">i_rank_i!BV20</f>
        <v>Bangladesh</v>
      </c>
      <c r="W17" s="129">
        <f ca="1">i_rank_i!BW20</f>
        <v>41.7</v>
      </c>
    </row>
    <row r="18" spans="1:23">
      <c r="A18" s="26"/>
      <c r="B18" s="26"/>
      <c r="C18" s="27"/>
      <c r="E18" s="88">
        <f ca="1">i_rank_i!AS21</f>
        <v>2</v>
      </c>
      <c r="F18" s="127">
        <f ca="1">i_rank_i!AT21</f>
        <v>15</v>
      </c>
      <c r="G18" s="128" t="str">
        <f ca="1">i_rank_i!AU21</f>
        <v>Guatemala</v>
      </c>
      <c r="H18" s="129">
        <f ca="1">i_rank_i!AV21</f>
        <v>51.8</v>
      </c>
      <c r="J18" s="88">
        <f ca="1">i_rank_i!BB21</f>
        <v>2</v>
      </c>
      <c r="K18" s="127" t="str">
        <f ca="1">i_rank_i!BC21</f>
        <v>=13</v>
      </c>
      <c r="L18" s="128" t="str">
        <f ca="1">i_rank_i!BD21</f>
        <v>El Salvador</v>
      </c>
      <c r="M18" s="129">
        <f ca="1">i_rank_i!BE21</f>
        <v>62.5</v>
      </c>
      <c r="O18" s="88">
        <f ca="1">i_rank_i!BK21</f>
        <v>2</v>
      </c>
      <c r="P18" s="127">
        <f ca="1">i_rank_i!BL21</f>
        <v>15</v>
      </c>
      <c r="Q18" s="128" t="str">
        <f ca="1">i_rank_i!BM21</f>
        <v>Jamaica</v>
      </c>
      <c r="R18" s="129">
        <f ca="1">i_rank_i!BN21</f>
        <v>51.7</v>
      </c>
      <c r="T18" s="88">
        <f ca="1">i_rank_i!BT21</f>
        <v>2</v>
      </c>
      <c r="U18" s="127" t="str">
        <f ca="1">i_rank_i!BU21</f>
        <v>=14</v>
      </c>
      <c r="V18" s="128" t="str">
        <f ca="1">i_rank_i!BV21</f>
        <v>Kyrgyzstan</v>
      </c>
      <c r="W18" s="129">
        <f ca="1">i_rank_i!BW21</f>
        <v>41.7</v>
      </c>
    </row>
    <row r="19" spans="1:23">
      <c r="A19" s="26"/>
      <c r="B19" s="26"/>
      <c r="C19" s="27"/>
      <c r="E19" s="88">
        <f ca="1">i_rank_i!AS22</f>
        <v>2</v>
      </c>
      <c r="F19" s="127">
        <f ca="1">i_rank_i!AT22</f>
        <v>16</v>
      </c>
      <c r="G19" s="128" t="str">
        <f ca="1">i_rank_i!AU22</f>
        <v>Panama</v>
      </c>
      <c r="H19" s="129">
        <f ca="1">i_rank_i!AV22</f>
        <v>50.9</v>
      </c>
      <c r="J19" s="88">
        <f ca="1">i_rank_i!BB22</f>
        <v>2</v>
      </c>
      <c r="K19" s="127" t="str">
        <f ca="1">i_rank_i!BC22</f>
        <v>=13</v>
      </c>
      <c r="L19" s="128" t="str">
        <f ca="1">i_rank_i!BD22</f>
        <v>India</v>
      </c>
      <c r="M19" s="129">
        <f ca="1">i_rank_i!BE22</f>
        <v>62.5</v>
      </c>
      <c r="O19" s="88">
        <f ca="1">i_rank_i!BK22</f>
        <v>2</v>
      </c>
      <c r="P19" s="127">
        <f ca="1">i_rank_i!BL22</f>
        <v>16</v>
      </c>
      <c r="Q19" s="128" t="str">
        <f ca="1">i_rank_i!BM22</f>
        <v>Colombia</v>
      </c>
      <c r="R19" s="129">
        <f ca="1">i_rank_i!BN22</f>
        <v>51.4</v>
      </c>
      <c r="T19" s="88">
        <f ca="1">i_rank_i!BT22</f>
        <v>2</v>
      </c>
      <c r="U19" s="127" t="str">
        <f ca="1">i_rank_i!BU22</f>
        <v>=14</v>
      </c>
      <c r="V19" s="128" t="str">
        <f ca="1">i_rank_i!BV22</f>
        <v>Pakistan</v>
      </c>
      <c r="W19" s="129">
        <f ca="1">i_rank_i!BW22</f>
        <v>41.7</v>
      </c>
    </row>
    <row r="20" spans="1:23">
      <c r="A20" s="26"/>
      <c r="B20" s="26"/>
      <c r="C20" s="27"/>
      <c r="E20" s="88">
        <f ca="1">i_rank_i!AS23</f>
        <v>2</v>
      </c>
      <c r="F20" s="127">
        <f ca="1">i_rank_i!AT23</f>
        <v>17</v>
      </c>
      <c r="G20" s="128" t="str">
        <f ca="1">i_rank_i!AU23</f>
        <v>Paraguay</v>
      </c>
      <c r="H20" s="129">
        <f ca="1">i_rank_i!AV23</f>
        <v>49.5</v>
      </c>
      <c r="J20" s="88">
        <f ca="1">i_rank_i!BB23</f>
        <v>2</v>
      </c>
      <c r="K20" s="127" t="str">
        <f ca="1">i_rank_i!BC23</f>
        <v>=13</v>
      </c>
      <c r="L20" s="128" t="str">
        <f ca="1">i_rank_i!BD23</f>
        <v>Paraguay</v>
      </c>
      <c r="M20" s="129">
        <f ca="1">i_rank_i!BE23</f>
        <v>62.5</v>
      </c>
      <c r="O20" s="88">
        <f ca="1">i_rank_i!BK23</f>
        <v>2</v>
      </c>
      <c r="P20" s="127">
        <f ca="1">i_rank_i!BL23</f>
        <v>17</v>
      </c>
      <c r="Q20" s="128" t="str">
        <f ca="1">i_rank_i!BM23</f>
        <v>Philippines</v>
      </c>
      <c r="R20" s="129">
        <f ca="1">i_rank_i!BN23</f>
        <v>50.6</v>
      </c>
      <c r="T20" s="88">
        <f ca="1">i_rank_i!BT23</f>
        <v>2</v>
      </c>
      <c r="U20" s="127" t="str">
        <f ca="1">i_rank_i!BU23</f>
        <v>=14</v>
      </c>
      <c r="V20" s="128" t="str">
        <f ca="1">i_rank_i!BV23</f>
        <v>Panama</v>
      </c>
      <c r="W20" s="129">
        <f ca="1">i_rank_i!BW23</f>
        <v>41.7</v>
      </c>
    </row>
    <row r="21" spans="1:23">
      <c r="A21" s="26"/>
      <c r="B21" s="26"/>
      <c r="C21" s="27"/>
      <c r="E21" s="88">
        <f ca="1">i_rank_i!AS24</f>
        <v>2</v>
      </c>
      <c r="F21" s="127">
        <f ca="1">i_rank_i!AT24</f>
        <v>18</v>
      </c>
      <c r="G21" s="128" t="str">
        <f ca="1">i_rank_i!AU24</f>
        <v>Honduras</v>
      </c>
      <c r="H21" s="129">
        <f ca="1">i_rank_i!AV24</f>
        <v>49.3</v>
      </c>
      <c r="J21" s="88">
        <f ca="1">i_rank_i!BB24</f>
        <v>2</v>
      </c>
      <c r="K21" s="127" t="str">
        <f ca="1">i_rank_i!BC24</f>
        <v>=13</v>
      </c>
      <c r="L21" s="128" t="str">
        <f ca="1">i_rank_i!BD24</f>
        <v>Yemen</v>
      </c>
      <c r="M21" s="129">
        <f ca="1">i_rank_i!BE24</f>
        <v>62.5</v>
      </c>
      <c r="O21" s="88">
        <f ca="1">i_rank_i!BK24</f>
        <v>2</v>
      </c>
      <c r="P21" s="127">
        <f ca="1">i_rank_i!BL24</f>
        <v>18</v>
      </c>
      <c r="Q21" s="128" t="str">
        <f ca="1">i_rank_i!BM24</f>
        <v>Kenya</v>
      </c>
      <c r="R21" s="129">
        <f ca="1">i_rank_i!BN24</f>
        <v>50</v>
      </c>
      <c r="T21" s="88">
        <f ca="1">i_rank_i!BT24</f>
        <v>2</v>
      </c>
      <c r="U21" s="127" t="str">
        <f ca="1">i_rank_i!BU24</f>
        <v>=14</v>
      </c>
      <c r="V21" s="128" t="str">
        <f ca="1">i_rank_i!BV24</f>
        <v>Paraguay</v>
      </c>
      <c r="W21" s="129">
        <f ca="1">i_rank_i!BW24</f>
        <v>41.7</v>
      </c>
    </row>
    <row r="22" spans="1:23">
      <c r="A22" s="26"/>
      <c r="B22" s="26"/>
      <c r="C22" s="27"/>
      <c r="E22" s="88">
        <f ca="1">i_rank_i!AS25</f>
        <v>2</v>
      </c>
      <c r="F22" s="127">
        <f ca="1">i_rank_i!AT25</f>
        <v>19</v>
      </c>
      <c r="G22" s="128" t="str">
        <f ca="1">i_rank_i!AU25</f>
        <v>Tanzania</v>
      </c>
      <c r="H22" s="129">
        <f ca="1">i_rank_i!AV25</f>
        <v>48.4</v>
      </c>
      <c r="J22" s="88">
        <f ca="1">i_rank_i!BB25</f>
        <v>2</v>
      </c>
      <c r="K22" s="127" t="str">
        <f ca="1">i_rank_i!BC25</f>
        <v>=19</v>
      </c>
      <c r="L22" s="128" t="str">
        <f ca="1">i_rank_i!BD25</f>
        <v>Georgia</v>
      </c>
      <c r="M22" s="129">
        <f ca="1">i_rank_i!BE25</f>
        <v>56.3</v>
      </c>
      <c r="O22" s="88">
        <f ca="1">i_rank_i!BK25</f>
        <v>2</v>
      </c>
      <c r="P22" s="127">
        <f ca="1">i_rank_i!BL25</f>
        <v>19</v>
      </c>
      <c r="Q22" s="128" t="str">
        <f ca="1">i_rank_i!BM25</f>
        <v>Pakistan</v>
      </c>
      <c r="R22" s="129">
        <f ca="1">i_rank_i!BN25</f>
        <v>49.2</v>
      </c>
      <c r="T22" s="88">
        <f ca="1">i_rank_i!BT25</f>
        <v>2</v>
      </c>
      <c r="U22" s="127" t="str">
        <f ca="1">i_rank_i!BU25</f>
        <v>=14</v>
      </c>
      <c r="V22" s="128" t="str">
        <f ca="1">i_rank_i!BV25</f>
        <v>Uganda</v>
      </c>
      <c r="W22" s="129">
        <f ca="1">i_rank_i!BW25</f>
        <v>41.7</v>
      </c>
    </row>
    <row r="23" spans="1:23">
      <c r="A23" s="26"/>
      <c r="B23" s="26"/>
      <c r="C23" s="27"/>
      <c r="E23" s="88">
        <f ca="1">i_rank_i!AS26</f>
        <v>2</v>
      </c>
      <c r="F23" s="127">
        <f ca="1">i_rank_i!AT26</f>
        <v>20</v>
      </c>
      <c r="G23" s="128" t="str">
        <f ca="1">i_rank_i!AU26</f>
        <v>Chile</v>
      </c>
      <c r="H23" s="129">
        <f ca="1">i_rank_i!AV26</f>
        <v>48</v>
      </c>
      <c r="J23" s="88">
        <f ca="1">i_rank_i!BB26</f>
        <v>2</v>
      </c>
      <c r="K23" s="127" t="str">
        <f ca="1">i_rank_i!BC26</f>
        <v>=19</v>
      </c>
      <c r="L23" s="128" t="str">
        <f ca="1">i_rank_i!BD26</f>
        <v>Mexico</v>
      </c>
      <c r="M23" s="129">
        <f ca="1">i_rank_i!BE26</f>
        <v>56.3</v>
      </c>
      <c r="O23" s="88">
        <f ca="1">i_rank_i!BK26</f>
        <v>2</v>
      </c>
      <c r="P23" s="127">
        <f ca="1">i_rank_i!BL26</f>
        <v>20</v>
      </c>
      <c r="Q23" s="128" t="str">
        <f ca="1">i_rank_i!BM26</f>
        <v>Nicaragua</v>
      </c>
      <c r="R23" s="129">
        <f ca="1">i_rank_i!BN26</f>
        <v>47.5</v>
      </c>
      <c r="T23" s="88">
        <f ca="1">i_rank_i!BT26</f>
        <v>2</v>
      </c>
      <c r="U23" s="127" t="str">
        <f ca="1">i_rank_i!BU26</f>
        <v>=20</v>
      </c>
      <c r="V23" s="128" t="str">
        <f ca="1">i_rank_i!BV26</f>
        <v>Argentina</v>
      </c>
      <c r="W23" s="129">
        <f ca="1">i_rank_i!BW26</f>
        <v>33.299999999999997</v>
      </c>
    </row>
    <row r="24" spans="1:23">
      <c r="A24" s="26"/>
      <c r="B24" s="26"/>
      <c r="C24" s="27"/>
      <c r="E24" s="88">
        <f ca="1">i_rank_i!AS27</f>
        <v>2</v>
      </c>
      <c r="F24" s="127">
        <f ca="1">i_rank_i!AT27</f>
        <v>21</v>
      </c>
      <c r="G24" s="128" t="str">
        <f ca="1">i_rank_i!AU27</f>
        <v>Mexico</v>
      </c>
      <c r="H24" s="129">
        <f ca="1">i_rank_i!AV27</f>
        <v>47.3</v>
      </c>
      <c r="J24" s="88">
        <f ca="1">i_rank_i!BB27</f>
        <v>2</v>
      </c>
      <c r="K24" s="127" t="str">
        <f ca="1">i_rank_i!BC27</f>
        <v>=19</v>
      </c>
      <c r="L24" s="128" t="str">
        <f ca="1">i_rank_i!BD27</f>
        <v>Mozambique</v>
      </c>
      <c r="M24" s="129">
        <f ca="1">i_rank_i!BE27</f>
        <v>56.3</v>
      </c>
      <c r="O24" s="88">
        <f ca="1">i_rank_i!BK27</f>
        <v>2</v>
      </c>
      <c r="P24" s="127" t="str">
        <f ca="1">i_rank_i!BL27</f>
        <v>=21</v>
      </c>
      <c r="Q24" s="128" t="str">
        <f ca="1">i_rank_i!BM27</f>
        <v>Bolivia</v>
      </c>
      <c r="R24" s="129">
        <f ca="1">i_rank_i!BN27</f>
        <v>46.1</v>
      </c>
      <c r="T24" s="88">
        <f ca="1">i_rank_i!BT27</f>
        <v>2</v>
      </c>
      <c r="U24" s="127" t="str">
        <f ca="1">i_rank_i!BU27</f>
        <v>=20</v>
      </c>
      <c r="V24" s="128" t="str">
        <f ca="1">i_rank_i!BV27</f>
        <v>Armenia</v>
      </c>
      <c r="W24" s="129">
        <f ca="1">i_rank_i!BW27</f>
        <v>33.299999999999997</v>
      </c>
    </row>
    <row r="25" spans="1:23">
      <c r="A25" s="26"/>
      <c r="B25" s="26"/>
      <c r="C25" s="27"/>
      <c r="E25" s="88">
        <f ca="1">i_rank_i!AS28</f>
        <v>2</v>
      </c>
      <c r="F25" s="127">
        <f ca="1">i_rank_i!AT28</f>
        <v>22</v>
      </c>
      <c r="G25" s="128" t="str">
        <f ca="1">i_rank_i!AU28</f>
        <v>Dominican Republic</v>
      </c>
      <c r="H25" s="129">
        <f ca="1">i_rank_i!AV28</f>
        <v>47</v>
      </c>
      <c r="J25" s="88">
        <f ca="1">i_rank_i!BB28</f>
        <v>2</v>
      </c>
      <c r="K25" s="127" t="str">
        <f ca="1">i_rank_i!BC28</f>
        <v>=19</v>
      </c>
      <c r="L25" s="128" t="str">
        <f ca="1">i_rank_i!BD28</f>
        <v>Nicaragua</v>
      </c>
      <c r="M25" s="129">
        <f ca="1">i_rank_i!BE28</f>
        <v>56.3</v>
      </c>
      <c r="O25" s="88">
        <f ca="1">i_rank_i!BK28</f>
        <v>2</v>
      </c>
      <c r="P25" s="127" t="str">
        <f ca="1">i_rank_i!BL28</f>
        <v>=21</v>
      </c>
      <c r="Q25" s="128" t="str">
        <f ca="1">i_rank_i!BM28</f>
        <v>Georgia</v>
      </c>
      <c r="R25" s="129">
        <f ca="1">i_rank_i!BN28</f>
        <v>46.1</v>
      </c>
      <c r="T25" s="88">
        <f ca="1">i_rank_i!BT28</f>
        <v>2</v>
      </c>
      <c r="U25" s="127" t="str">
        <f ca="1">i_rank_i!BU28</f>
        <v>=20</v>
      </c>
      <c r="V25" s="128" t="str">
        <f ca="1">i_rank_i!BV28</f>
        <v>Brazil</v>
      </c>
      <c r="W25" s="129">
        <f ca="1">i_rank_i!BW28</f>
        <v>33.299999999999997</v>
      </c>
    </row>
    <row r="26" spans="1:23">
      <c r="A26" s="26"/>
      <c r="B26" s="26"/>
      <c r="C26" s="27"/>
      <c r="E26" s="88">
        <f ca="1">i_rank_i!AS29</f>
        <v>2</v>
      </c>
      <c r="F26" s="127">
        <f ca="1">i_rank_i!AT29</f>
        <v>23</v>
      </c>
      <c r="G26" s="128" t="str">
        <f ca="1">i_rank_i!AU29</f>
        <v>Georgia</v>
      </c>
      <c r="H26" s="129">
        <f ca="1">i_rank_i!AV29</f>
        <v>45.1</v>
      </c>
      <c r="J26" s="88">
        <f ca="1">i_rank_i!BB29</f>
        <v>2</v>
      </c>
      <c r="K26" s="127" t="str">
        <f ca="1">i_rank_i!BC29</f>
        <v>=19</v>
      </c>
      <c r="L26" s="128" t="str">
        <f ca="1">i_rank_i!BD29</f>
        <v>Nigeria</v>
      </c>
      <c r="M26" s="129">
        <f ca="1">i_rank_i!BE29</f>
        <v>56.3</v>
      </c>
      <c r="O26" s="88">
        <f ca="1">i_rank_i!BK29</f>
        <v>2</v>
      </c>
      <c r="P26" s="127" t="str">
        <f ca="1">i_rank_i!BL29</f>
        <v>=23</v>
      </c>
      <c r="Q26" s="128" t="str">
        <f ca="1">i_rank_i!BM29</f>
        <v>El Salvador</v>
      </c>
      <c r="R26" s="129">
        <f ca="1">i_rank_i!BN29</f>
        <v>45.8</v>
      </c>
      <c r="T26" s="88">
        <f ca="1">i_rank_i!BT29</f>
        <v>2</v>
      </c>
      <c r="U26" s="127" t="str">
        <f ca="1">i_rank_i!BU29</f>
        <v>=20</v>
      </c>
      <c r="V26" s="128" t="str">
        <f ca="1">i_rank_i!BV29</f>
        <v>Chile</v>
      </c>
      <c r="W26" s="129">
        <f ca="1">i_rank_i!BW29</f>
        <v>33.299999999999997</v>
      </c>
    </row>
    <row r="27" spans="1:23">
      <c r="A27" s="26"/>
      <c r="B27" s="26"/>
      <c r="C27" s="27"/>
      <c r="E27" s="88">
        <f ca="1">i_rank_i!AS30</f>
        <v>2</v>
      </c>
      <c r="F27" s="127">
        <f ca="1">i_rank_i!AT30</f>
        <v>24</v>
      </c>
      <c r="G27" s="128" t="str">
        <f ca="1">i_rank_i!AU30</f>
        <v>Brazil</v>
      </c>
      <c r="H27" s="129">
        <f ca="1">i_rank_i!AV30</f>
        <v>44</v>
      </c>
      <c r="J27" s="88">
        <f ca="1">i_rank_i!BB30</f>
        <v>2</v>
      </c>
      <c r="K27" s="127" t="str">
        <f ca="1">i_rank_i!BC30</f>
        <v>=19</v>
      </c>
      <c r="L27" s="128" t="str">
        <f ca="1">i_rank_i!BD30</f>
        <v>Panama</v>
      </c>
      <c r="M27" s="129">
        <f ca="1">i_rank_i!BE30</f>
        <v>56.3</v>
      </c>
      <c r="O27" s="88">
        <f ca="1">i_rank_i!BK30</f>
        <v>2</v>
      </c>
      <c r="P27" s="127" t="str">
        <f ca="1">i_rank_i!BL30</f>
        <v>=23</v>
      </c>
      <c r="Q27" s="128" t="str">
        <f ca="1">i_rank_i!BM30</f>
        <v>Uruguay</v>
      </c>
      <c r="R27" s="129">
        <f ca="1">i_rank_i!BN30</f>
        <v>45.8</v>
      </c>
      <c r="T27" s="88">
        <f ca="1">i_rank_i!BT30</f>
        <v>2</v>
      </c>
      <c r="U27" s="127" t="str">
        <f ca="1">i_rank_i!BU30</f>
        <v>=20</v>
      </c>
      <c r="V27" s="128" t="str">
        <f ca="1">i_rank_i!BV30</f>
        <v>Costa Rica</v>
      </c>
      <c r="W27" s="129">
        <f ca="1">i_rank_i!BW30</f>
        <v>33.299999999999997</v>
      </c>
    </row>
    <row r="28" spans="1:23">
      <c r="A28" s="26"/>
      <c r="B28" s="26"/>
      <c r="C28" s="27"/>
      <c r="E28" s="88">
        <f ca="1">i_rank_i!AS31</f>
        <v>2</v>
      </c>
      <c r="F28" s="127">
        <f ca="1">i_rank_i!AT31</f>
        <v>25</v>
      </c>
      <c r="G28" s="128" t="str">
        <f ca="1">i_rank_i!AU31</f>
        <v>Armenia</v>
      </c>
      <c r="H28" s="129">
        <f ca="1">i_rank_i!AV31</f>
        <v>43.9</v>
      </c>
      <c r="J28" s="88">
        <f ca="1">i_rank_i!BB31</f>
        <v>2</v>
      </c>
      <c r="K28" s="127" t="str">
        <f ca="1">i_rank_i!BC31</f>
        <v>=19</v>
      </c>
      <c r="L28" s="128" t="str">
        <f ca="1">i_rank_i!BD31</f>
        <v>Rwanda</v>
      </c>
      <c r="M28" s="129">
        <f ca="1">i_rank_i!BE31</f>
        <v>56.3</v>
      </c>
      <c r="O28" s="88">
        <f ca="1">i_rank_i!BK31</f>
        <v>2</v>
      </c>
      <c r="P28" s="127" t="str">
        <f ca="1">i_rank_i!BL31</f>
        <v>=25</v>
      </c>
      <c r="Q28" s="128" t="str">
        <f ca="1">i_rank_i!BM31</f>
        <v>Cambodia</v>
      </c>
      <c r="R28" s="129">
        <f ca="1">i_rank_i!BN31</f>
        <v>45.6</v>
      </c>
      <c r="T28" s="88">
        <f ca="1">i_rank_i!BT31</f>
        <v>2</v>
      </c>
      <c r="U28" s="127" t="str">
        <f ca="1">i_rank_i!BU31</f>
        <v>=20</v>
      </c>
      <c r="V28" s="128" t="str">
        <f ca="1">i_rank_i!BV31</f>
        <v>Georgia</v>
      </c>
      <c r="W28" s="129">
        <f ca="1">i_rank_i!BW31</f>
        <v>33.299999999999997</v>
      </c>
    </row>
    <row r="29" spans="1:23">
      <c r="A29" s="26"/>
      <c r="B29" s="26"/>
      <c r="C29" s="27"/>
      <c r="E29" s="88">
        <f ca="1">i_rank_i!AS32</f>
        <v>2</v>
      </c>
      <c r="F29" s="127">
        <f ca="1">i_rank_i!AT32</f>
        <v>26</v>
      </c>
      <c r="G29" s="128" t="str">
        <f ca="1">i_rank_i!AU32</f>
        <v>Bosnia</v>
      </c>
      <c r="H29" s="129">
        <f ca="1">i_rank_i!AV32</f>
        <v>43.1</v>
      </c>
      <c r="J29" s="88">
        <f ca="1">i_rank_i!BB32</f>
        <v>2</v>
      </c>
      <c r="K29" s="127" t="str">
        <f ca="1">i_rank_i!BC32</f>
        <v>=26</v>
      </c>
      <c r="L29" s="128" t="str">
        <f ca="1">i_rank_i!BD32</f>
        <v>Armenia</v>
      </c>
      <c r="M29" s="129">
        <f ca="1">i_rank_i!BE32</f>
        <v>50</v>
      </c>
      <c r="O29" s="88">
        <f ca="1">i_rank_i!BK32</f>
        <v>2</v>
      </c>
      <c r="P29" s="127" t="str">
        <f ca="1">i_rank_i!BL32</f>
        <v>=25</v>
      </c>
      <c r="Q29" s="128" t="str">
        <f ca="1">i_rank_i!BM32</f>
        <v>Mongolia</v>
      </c>
      <c r="R29" s="129">
        <f ca="1">i_rank_i!BN32</f>
        <v>45.6</v>
      </c>
      <c r="T29" s="88">
        <f ca="1">i_rank_i!BT32</f>
        <v>2</v>
      </c>
      <c r="U29" s="127" t="str">
        <f ca="1">i_rank_i!BU32</f>
        <v>=20</v>
      </c>
      <c r="V29" s="128" t="str">
        <f ca="1">i_rank_i!BV32</f>
        <v>Kenya</v>
      </c>
      <c r="W29" s="129">
        <f ca="1">i_rank_i!BW32</f>
        <v>33.299999999999997</v>
      </c>
    </row>
    <row r="30" spans="1:23">
      <c r="A30" s="26"/>
      <c r="B30" s="26"/>
      <c r="C30" s="27"/>
      <c r="E30" s="88">
        <f ca="1">i_rank_i!AS33</f>
        <v>2</v>
      </c>
      <c r="F30" s="127">
        <f ca="1">i_rank_i!AT33</f>
        <v>27</v>
      </c>
      <c r="G30" s="128" t="str">
        <f ca="1">i_rank_i!AU33</f>
        <v>Bangladesh</v>
      </c>
      <c r="H30" s="129">
        <f ca="1">i_rank_i!AV33</f>
        <v>42.7</v>
      </c>
      <c r="J30" s="88">
        <f ca="1">i_rank_i!BB33</f>
        <v>2</v>
      </c>
      <c r="K30" s="127" t="str">
        <f ca="1">i_rank_i!BC33</f>
        <v>=26</v>
      </c>
      <c r="L30" s="128" t="str">
        <f ca="1">i_rank_i!BD33</f>
        <v>Bosnia</v>
      </c>
      <c r="M30" s="129">
        <f ca="1">i_rank_i!BE33</f>
        <v>50</v>
      </c>
      <c r="O30" s="88">
        <f ca="1">i_rank_i!BK33</f>
        <v>2</v>
      </c>
      <c r="P30" s="127" t="str">
        <f ca="1">i_rank_i!BL33</f>
        <v>=27</v>
      </c>
      <c r="Q30" s="128" t="str">
        <f ca="1">i_rank_i!BM33</f>
        <v>Bangladesh</v>
      </c>
      <c r="R30" s="129">
        <f ca="1">i_rank_i!BN33</f>
        <v>42.5</v>
      </c>
      <c r="T30" s="88">
        <f ca="1">i_rank_i!BT33</f>
        <v>2</v>
      </c>
      <c r="U30" s="127" t="str">
        <f ca="1">i_rank_i!BU33</f>
        <v>=20</v>
      </c>
      <c r="V30" s="128" t="str">
        <f ca="1">i_rank_i!BV33</f>
        <v>Mexico</v>
      </c>
      <c r="W30" s="129">
        <f ca="1">i_rank_i!BW33</f>
        <v>33.299999999999997</v>
      </c>
    </row>
    <row r="31" spans="1:23">
      <c r="A31" s="26"/>
      <c r="B31" s="26"/>
      <c r="C31" s="27"/>
      <c r="E31" s="88">
        <f ca="1">i_rank_i!AS34</f>
        <v>2</v>
      </c>
      <c r="F31" s="127">
        <f ca="1">i_rank_i!AT34</f>
        <v>28</v>
      </c>
      <c r="G31" s="128" t="str">
        <f ca="1">i_rank_i!AU34</f>
        <v>Costa Rica</v>
      </c>
      <c r="H31" s="129">
        <f ca="1">i_rank_i!AV34</f>
        <v>42.5</v>
      </c>
      <c r="J31" s="88">
        <f ca="1">i_rank_i!BB34</f>
        <v>2</v>
      </c>
      <c r="K31" s="127" t="str">
        <f ca="1">i_rank_i!BC34</f>
        <v>=26</v>
      </c>
      <c r="L31" s="128" t="str">
        <f ca="1">i_rank_i!BD34</f>
        <v>Brazil</v>
      </c>
      <c r="M31" s="129">
        <f ca="1">i_rank_i!BE34</f>
        <v>50</v>
      </c>
      <c r="O31" s="88">
        <f ca="1">i_rank_i!BK34</f>
        <v>2</v>
      </c>
      <c r="P31" s="127" t="str">
        <f ca="1">i_rank_i!BL34</f>
        <v>=27</v>
      </c>
      <c r="Q31" s="128" t="str">
        <f ca="1">i_rank_i!BM34</f>
        <v>Guatemala</v>
      </c>
      <c r="R31" s="129">
        <f ca="1">i_rank_i!BN34</f>
        <v>42.5</v>
      </c>
      <c r="T31" s="88">
        <f ca="1">i_rank_i!BT34</f>
        <v>2</v>
      </c>
      <c r="U31" s="127" t="str">
        <f ca="1">i_rank_i!BU34</f>
        <v>=20</v>
      </c>
      <c r="V31" s="128" t="str">
        <f ca="1">i_rank_i!BV34</f>
        <v>Nepal</v>
      </c>
      <c r="W31" s="129">
        <f ca="1">i_rank_i!BW34</f>
        <v>33.299999999999997</v>
      </c>
    </row>
    <row r="32" spans="1:23">
      <c r="A32" s="26"/>
      <c r="B32" s="26"/>
      <c r="C32" s="27"/>
      <c r="E32" s="88">
        <f ca="1">i_rank_i!AS35</f>
        <v>2</v>
      </c>
      <c r="F32" s="127">
        <f ca="1">i_rank_i!AT35</f>
        <v>29</v>
      </c>
      <c r="G32" s="128" t="str">
        <f ca="1">i_rank_i!AU35</f>
        <v>Yemen</v>
      </c>
      <c r="H32" s="129">
        <f ca="1">i_rank_i!AV35</f>
        <v>42.1</v>
      </c>
      <c r="J32" s="88">
        <f ca="1">i_rank_i!BB35</f>
        <v>2</v>
      </c>
      <c r="K32" s="127" t="str">
        <f ca="1">i_rank_i!BC35</f>
        <v>=26</v>
      </c>
      <c r="L32" s="128" t="str">
        <f ca="1">i_rank_i!BD35</f>
        <v>Cameroon</v>
      </c>
      <c r="M32" s="129">
        <f ca="1">i_rank_i!BE35</f>
        <v>50</v>
      </c>
      <c r="O32" s="88">
        <f ca="1">i_rank_i!BK35</f>
        <v>2</v>
      </c>
      <c r="P32" s="127">
        <f ca="1">i_rank_i!BL35</f>
        <v>29</v>
      </c>
      <c r="Q32" s="128" t="str">
        <f ca="1">i_rank_i!BM35</f>
        <v>Senegal</v>
      </c>
      <c r="R32" s="129">
        <f ca="1">i_rank_i!BN35</f>
        <v>41.9</v>
      </c>
      <c r="T32" s="88">
        <f ca="1">i_rank_i!BT35</f>
        <v>2</v>
      </c>
      <c r="U32" s="127" t="str">
        <f ca="1">i_rank_i!BU35</f>
        <v>=20</v>
      </c>
      <c r="V32" s="128" t="str">
        <f ca="1">i_rank_i!BV35</f>
        <v>Tanzania</v>
      </c>
      <c r="W32" s="129">
        <f ca="1">i_rank_i!BW35</f>
        <v>33.299999999999997</v>
      </c>
    </row>
    <row r="33" spans="1:23">
      <c r="A33" s="26"/>
      <c r="B33" s="26"/>
      <c r="C33" s="27"/>
      <c r="E33" s="88">
        <f ca="1">i_rank_i!AS36</f>
        <v>2</v>
      </c>
      <c r="F33" s="127" t="str">
        <f ca="1">i_rank_i!AT36</f>
        <v>=30</v>
      </c>
      <c r="G33" s="128" t="str">
        <f ca="1">i_rank_i!AU36</f>
        <v>Sri Lanka</v>
      </c>
      <c r="H33" s="129">
        <f ca="1">i_rank_i!AV36</f>
        <v>40.4</v>
      </c>
      <c r="J33" s="88">
        <f ca="1">i_rank_i!BB36</f>
        <v>2</v>
      </c>
      <c r="K33" s="127" t="str">
        <f ca="1">i_rank_i!BC36</f>
        <v>=26</v>
      </c>
      <c r="L33" s="128" t="str">
        <f ca="1">i_rank_i!BD36</f>
        <v>Chile</v>
      </c>
      <c r="M33" s="129">
        <f ca="1">i_rank_i!BE36</f>
        <v>50</v>
      </c>
      <c r="O33" s="88">
        <f ca="1">i_rank_i!BK36</f>
        <v>2</v>
      </c>
      <c r="P33" s="127">
        <f ca="1">i_rank_i!BL36</f>
        <v>30</v>
      </c>
      <c r="Q33" s="128" t="str">
        <f ca="1">i_rank_i!BM36</f>
        <v>Sri Lanka</v>
      </c>
      <c r="R33" s="129">
        <f ca="1">i_rank_i!BN36</f>
        <v>39.4</v>
      </c>
      <c r="T33" s="88">
        <f ca="1">i_rank_i!BT36</f>
        <v>2</v>
      </c>
      <c r="U33" s="127" t="str">
        <f ca="1">i_rank_i!BU36</f>
        <v>=30</v>
      </c>
      <c r="V33" s="128" t="str">
        <f ca="1">i_rank_i!BV36</f>
        <v>Bosnia</v>
      </c>
      <c r="W33" s="129">
        <f ca="1">i_rank_i!BW36</f>
        <v>25</v>
      </c>
    </row>
    <row r="34" spans="1:23">
      <c r="A34" s="26"/>
      <c r="B34" s="26"/>
      <c r="C34" s="27"/>
      <c r="E34" s="88">
        <f ca="1">i_rank_i!AS37</f>
        <v>2</v>
      </c>
      <c r="F34" s="127" t="str">
        <f ca="1">i_rank_i!AT37</f>
        <v>=30</v>
      </c>
      <c r="G34" s="128" t="str">
        <f ca="1">i_rank_i!AU37</f>
        <v>Tajikistan</v>
      </c>
      <c r="H34" s="129">
        <f ca="1">i_rank_i!AV37</f>
        <v>40.4</v>
      </c>
      <c r="J34" s="88">
        <f ca="1">i_rank_i!BB37</f>
        <v>2</v>
      </c>
      <c r="K34" s="127" t="str">
        <f ca="1">i_rank_i!BC37</f>
        <v>=26</v>
      </c>
      <c r="L34" s="128" t="str">
        <f ca="1">i_rank_i!BD37</f>
        <v>Dominican Republic</v>
      </c>
      <c r="M34" s="129">
        <f ca="1">i_rank_i!BE37</f>
        <v>50</v>
      </c>
      <c r="O34" s="88">
        <f ca="1">i_rank_i!BK37</f>
        <v>2</v>
      </c>
      <c r="P34" s="127" t="str">
        <f ca="1">i_rank_i!BL37</f>
        <v>=31</v>
      </c>
      <c r="Q34" s="128" t="str">
        <f ca="1">i_rank_i!BM37</f>
        <v>Mozambique</v>
      </c>
      <c r="R34" s="129">
        <f ca="1">i_rank_i!BN37</f>
        <v>38.9</v>
      </c>
      <c r="T34" s="88">
        <f ca="1">i_rank_i!BT37</f>
        <v>2</v>
      </c>
      <c r="U34" s="127" t="str">
        <f ca="1">i_rank_i!BU37</f>
        <v>=30</v>
      </c>
      <c r="V34" s="128" t="str">
        <f ca="1">i_rank_i!BV37</f>
        <v>Cambodia</v>
      </c>
      <c r="W34" s="129">
        <f ca="1">i_rank_i!BW37</f>
        <v>25</v>
      </c>
    </row>
    <row r="35" spans="1:23">
      <c r="A35" s="26"/>
      <c r="B35" s="26"/>
      <c r="C35" s="27"/>
      <c r="E35" s="88">
        <f ca="1">i_rank_i!AS38</f>
        <v>2</v>
      </c>
      <c r="F35" s="127">
        <f ca="1">i_rank_i!AT38</f>
        <v>32</v>
      </c>
      <c r="G35" s="128" t="str">
        <f ca="1">i_rank_i!AU38</f>
        <v>Mozambique</v>
      </c>
      <c r="H35" s="129">
        <f ca="1">i_rank_i!AV38</f>
        <v>40.299999999999997</v>
      </c>
      <c r="J35" s="88">
        <f ca="1">i_rank_i!BB38</f>
        <v>2</v>
      </c>
      <c r="K35" s="127" t="str">
        <f ca="1">i_rank_i!BC38</f>
        <v>=26</v>
      </c>
      <c r="L35" s="128" t="str">
        <f ca="1">i_rank_i!BD38</f>
        <v>Guatemala</v>
      </c>
      <c r="M35" s="129">
        <f ca="1">i_rank_i!BE38</f>
        <v>50</v>
      </c>
      <c r="O35" s="88">
        <f ca="1">i_rank_i!BK38</f>
        <v>2</v>
      </c>
      <c r="P35" s="127" t="str">
        <f ca="1">i_rank_i!BL38</f>
        <v>=31</v>
      </c>
      <c r="Q35" s="128" t="str">
        <f ca="1">i_rank_i!BM38</f>
        <v>Paraguay</v>
      </c>
      <c r="R35" s="129">
        <f ca="1">i_rank_i!BN38</f>
        <v>38.9</v>
      </c>
      <c r="T35" s="88">
        <f ca="1">i_rank_i!BT38</f>
        <v>2</v>
      </c>
      <c r="U35" s="127" t="str">
        <f ca="1">i_rank_i!BU38</f>
        <v>=30</v>
      </c>
      <c r="V35" s="128" t="str">
        <f ca="1">i_rank_i!BV38</f>
        <v>China</v>
      </c>
      <c r="W35" s="129">
        <f ca="1">i_rank_i!BW38</f>
        <v>25</v>
      </c>
    </row>
    <row r="36" spans="1:23">
      <c r="A36" s="26"/>
      <c r="B36" s="26"/>
      <c r="C36" s="27"/>
      <c r="E36" s="88">
        <f ca="1">i_rank_i!AS39</f>
        <v>2</v>
      </c>
      <c r="F36" s="127">
        <f ca="1">i_rank_i!AT39</f>
        <v>33</v>
      </c>
      <c r="G36" s="128" t="str">
        <f ca="1">i_rank_i!AU39</f>
        <v>Nigeria</v>
      </c>
      <c r="H36" s="129">
        <f ca="1">i_rank_i!AV39</f>
        <v>39.4</v>
      </c>
      <c r="J36" s="88">
        <f ca="1">i_rank_i!BB39</f>
        <v>2</v>
      </c>
      <c r="K36" s="127" t="str">
        <f ca="1">i_rank_i!BC39</f>
        <v>=26</v>
      </c>
      <c r="L36" s="128" t="str">
        <f ca="1">i_rank_i!BD39</f>
        <v>Honduras</v>
      </c>
      <c r="M36" s="129">
        <f ca="1">i_rank_i!BE39</f>
        <v>50</v>
      </c>
      <c r="O36" s="88">
        <f ca="1">i_rank_i!BK39</f>
        <v>2</v>
      </c>
      <c r="P36" s="127" t="str">
        <f ca="1">i_rank_i!BL39</f>
        <v>=33</v>
      </c>
      <c r="Q36" s="128" t="str">
        <f ca="1">i_rank_i!BM39</f>
        <v>Indonesia</v>
      </c>
      <c r="R36" s="129">
        <f ca="1">i_rank_i!BN39</f>
        <v>38.299999999999997</v>
      </c>
      <c r="T36" s="88">
        <f ca="1">i_rank_i!BT39</f>
        <v>2</v>
      </c>
      <c r="U36" s="127" t="str">
        <f ca="1">i_rank_i!BU39</f>
        <v>=30</v>
      </c>
      <c r="V36" s="128" t="str">
        <f ca="1">i_rank_i!BV39</f>
        <v>Haiti</v>
      </c>
      <c r="W36" s="129">
        <f ca="1">i_rank_i!BW39</f>
        <v>25</v>
      </c>
    </row>
    <row r="37" spans="1:23">
      <c r="A37" s="26"/>
      <c r="B37" s="26"/>
      <c r="C37" s="27"/>
      <c r="E37" s="88">
        <f ca="1">i_rank_i!AS40</f>
        <v>2</v>
      </c>
      <c r="F37" s="127">
        <f ca="1">i_rank_i!AT40</f>
        <v>34</v>
      </c>
      <c r="G37" s="128" t="str">
        <f ca="1">i_rank_i!AU40</f>
        <v>Rwanda</v>
      </c>
      <c r="H37" s="129">
        <f ca="1">i_rank_i!AV40</f>
        <v>38.6</v>
      </c>
      <c r="J37" s="88">
        <f ca="1">i_rank_i!BB40</f>
        <v>2</v>
      </c>
      <c r="K37" s="127" t="str">
        <f ca="1">i_rank_i!BC40</f>
        <v>=26</v>
      </c>
      <c r="L37" s="128" t="str">
        <f ca="1">i_rank_i!BD40</f>
        <v>Madagascar</v>
      </c>
      <c r="M37" s="129">
        <f ca="1">i_rank_i!BE40</f>
        <v>50</v>
      </c>
      <c r="O37" s="88">
        <f ca="1">i_rank_i!BK40</f>
        <v>2</v>
      </c>
      <c r="P37" s="127" t="str">
        <f ca="1">i_rank_i!BL40</f>
        <v>=33</v>
      </c>
      <c r="Q37" s="128" t="str">
        <f ca="1">i_rank_i!BM40</f>
        <v>Lebanon</v>
      </c>
      <c r="R37" s="129">
        <f ca="1">i_rank_i!BN40</f>
        <v>38.299999999999997</v>
      </c>
      <c r="T37" s="88">
        <f ca="1">i_rank_i!BT40</f>
        <v>2</v>
      </c>
      <c r="U37" s="127" t="str">
        <f ca="1">i_rank_i!BU40</f>
        <v>=30</v>
      </c>
      <c r="V37" s="128" t="str">
        <f ca="1">i_rank_i!BV40</f>
        <v>Indonesia</v>
      </c>
      <c r="W37" s="129">
        <f ca="1">i_rank_i!BW40</f>
        <v>25</v>
      </c>
    </row>
    <row r="38" spans="1:23">
      <c r="A38" s="26"/>
      <c r="B38" s="26"/>
      <c r="C38" s="27"/>
      <c r="E38" s="88">
        <f ca="1">i_rank_i!AS41</f>
        <v>2</v>
      </c>
      <c r="F38" s="127">
        <f ca="1">i_rank_i!AT41</f>
        <v>35</v>
      </c>
      <c r="G38" s="128" t="str">
        <f ca="1">i_rank_i!AU41</f>
        <v>DRC</v>
      </c>
      <c r="H38" s="129">
        <f ca="1">i_rank_i!AV41</f>
        <v>36.799999999999997</v>
      </c>
      <c r="J38" s="88">
        <f ca="1">i_rank_i!BB41</f>
        <v>2</v>
      </c>
      <c r="K38" s="127" t="str">
        <f ca="1">i_rank_i!BC41</f>
        <v>=35</v>
      </c>
      <c r="L38" s="128" t="str">
        <f ca="1">i_rank_i!BD41</f>
        <v>Bangladesh</v>
      </c>
      <c r="M38" s="129">
        <f ca="1">i_rank_i!BE41</f>
        <v>43.8</v>
      </c>
      <c r="O38" s="88">
        <f ca="1">i_rank_i!BK41</f>
        <v>2</v>
      </c>
      <c r="P38" s="127">
        <f ca="1">i_rank_i!BL41</f>
        <v>35</v>
      </c>
      <c r="Q38" s="128" t="str">
        <f ca="1">i_rank_i!BM41</f>
        <v>Tanzania</v>
      </c>
      <c r="R38" s="129">
        <f ca="1">i_rank_i!BN41</f>
        <v>37.799999999999997</v>
      </c>
      <c r="T38" s="88">
        <f ca="1">i_rank_i!BT41</f>
        <v>2</v>
      </c>
      <c r="U38" s="127" t="str">
        <f ca="1">i_rank_i!BU41</f>
        <v>=30</v>
      </c>
      <c r="V38" s="128" t="str">
        <f ca="1">i_rank_i!BV41</f>
        <v>Mozambique</v>
      </c>
      <c r="W38" s="129">
        <f ca="1">i_rank_i!BW41</f>
        <v>25</v>
      </c>
    </row>
    <row r="39" spans="1:23">
      <c r="A39" s="26"/>
      <c r="B39" s="26"/>
      <c r="C39" s="27"/>
      <c r="E39" s="88">
        <f ca="1">i_rank_i!AS42</f>
        <v>2</v>
      </c>
      <c r="F39" s="127">
        <f ca="1">i_rank_i!AT42</f>
        <v>36</v>
      </c>
      <c r="G39" s="128" t="str">
        <f ca="1">i_rank_i!AU42</f>
        <v>Indonesia</v>
      </c>
      <c r="H39" s="129">
        <f ca="1">i_rank_i!AV42</f>
        <v>35.200000000000003</v>
      </c>
      <c r="J39" s="88">
        <f ca="1">i_rank_i!BB42</f>
        <v>2</v>
      </c>
      <c r="K39" s="127" t="str">
        <f ca="1">i_rank_i!BC42</f>
        <v>=35</v>
      </c>
      <c r="L39" s="128" t="str">
        <f ca="1">i_rank_i!BD42</f>
        <v>China</v>
      </c>
      <c r="M39" s="129">
        <f ca="1">i_rank_i!BE42</f>
        <v>43.8</v>
      </c>
      <c r="O39" s="88">
        <f ca="1">i_rank_i!BK42</f>
        <v>2</v>
      </c>
      <c r="P39" s="127">
        <f ca="1">i_rank_i!BL42</f>
        <v>36</v>
      </c>
      <c r="Q39" s="128" t="str">
        <f ca="1">i_rank_i!BM42</f>
        <v>Argentina</v>
      </c>
      <c r="R39" s="129">
        <f ca="1">i_rank_i!BN42</f>
        <v>37.5</v>
      </c>
      <c r="T39" s="88">
        <f ca="1">i_rank_i!BT42</f>
        <v>2</v>
      </c>
      <c r="U39" s="127" t="str">
        <f ca="1">i_rank_i!BU42</f>
        <v>=30</v>
      </c>
      <c r="V39" s="128" t="str">
        <f ca="1">i_rank_i!BV42</f>
        <v>Nigeria</v>
      </c>
      <c r="W39" s="129">
        <f ca="1">i_rank_i!BW42</f>
        <v>25</v>
      </c>
    </row>
    <row r="40" spans="1:23">
      <c r="A40" s="26"/>
      <c r="B40" s="26"/>
      <c r="C40" s="27"/>
      <c r="E40" s="88">
        <f ca="1">i_rank_i!AS43</f>
        <v>2</v>
      </c>
      <c r="F40" s="127">
        <f ca="1">i_rank_i!AT43</f>
        <v>37</v>
      </c>
      <c r="G40" s="128" t="str">
        <f ca="1">i_rank_i!AU43</f>
        <v>China</v>
      </c>
      <c r="H40" s="129">
        <f ca="1">i_rank_i!AV43</f>
        <v>34.1</v>
      </c>
      <c r="J40" s="88">
        <f ca="1">i_rank_i!BB43</f>
        <v>2</v>
      </c>
      <c r="K40" s="127" t="str">
        <f ca="1">i_rank_i!BC43</f>
        <v>=35</v>
      </c>
      <c r="L40" s="128" t="str">
        <f ca="1">i_rank_i!BD43</f>
        <v>Costa Rica</v>
      </c>
      <c r="M40" s="129">
        <f ca="1">i_rank_i!BE43</f>
        <v>43.8</v>
      </c>
      <c r="O40" s="88">
        <f ca="1">i_rank_i!BK43</f>
        <v>2</v>
      </c>
      <c r="P40" s="127">
        <f ca="1">i_rank_i!BL43</f>
        <v>37</v>
      </c>
      <c r="Q40" s="128" t="str">
        <f ca="1">i_rank_i!BM43</f>
        <v>Venezuela</v>
      </c>
      <c r="R40" s="129">
        <f ca="1">i_rank_i!BN43</f>
        <v>37.200000000000003</v>
      </c>
      <c r="T40" s="88">
        <f ca="1">i_rank_i!BT43</f>
        <v>2</v>
      </c>
      <c r="U40" s="127" t="str">
        <f ca="1">i_rank_i!BU43</f>
        <v>=30</v>
      </c>
      <c r="V40" s="128" t="str">
        <f ca="1">i_rank_i!BV43</f>
        <v>Rwanda</v>
      </c>
      <c r="W40" s="129">
        <f ca="1">i_rank_i!BW43</f>
        <v>25</v>
      </c>
    </row>
    <row r="41" spans="1:23">
      <c r="A41" s="26"/>
      <c r="B41" s="26"/>
      <c r="C41" s="27"/>
      <c r="E41" s="88">
        <f ca="1">i_rank_i!AS44</f>
        <v>2</v>
      </c>
      <c r="F41" s="127">
        <f ca="1">i_rank_i!AT44</f>
        <v>38</v>
      </c>
      <c r="G41" s="128" t="str">
        <f ca="1">i_rank_i!AU44</f>
        <v>Haiti</v>
      </c>
      <c r="H41" s="129">
        <f ca="1">i_rank_i!AV44</f>
        <v>33.4</v>
      </c>
      <c r="J41" s="88">
        <f ca="1">i_rank_i!BB44</f>
        <v>2</v>
      </c>
      <c r="K41" s="127" t="str">
        <f ca="1">i_rank_i!BC44</f>
        <v>=35</v>
      </c>
      <c r="L41" s="128" t="str">
        <f ca="1">i_rank_i!BD44</f>
        <v>Ethiopia</v>
      </c>
      <c r="M41" s="129">
        <f ca="1">i_rank_i!BE44</f>
        <v>43.8</v>
      </c>
      <c r="O41" s="88">
        <f ca="1">i_rank_i!BK44</f>
        <v>2</v>
      </c>
      <c r="P41" s="127">
        <f ca="1">i_rank_i!BL44</f>
        <v>38</v>
      </c>
      <c r="Q41" s="128" t="str">
        <f ca="1">i_rank_i!BM44</f>
        <v>Azerbaijan</v>
      </c>
      <c r="R41" s="129">
        <f ca="1">i_rank_i!BN44</f>
        <v>36.4</v>
      </c>
      <c r="T41" s="88">
        <f ca="1">i_rank_i!BT44</f>
        <v>2</v>
      </c>
      <c r="U41" s="127" t="str">
        <f ca="1">i_rank_i!BU44</f>
        <v>=30</v>
      </c>
      <c r="V41" s="128" t="str">
        <f ca="1">i_rank_i!BV44</f>
        <v>Thailand</v>
      </c>
      <c r="W41" s="129">
        <f ca="1">i_rank_i!BW44</f>
        <v>25</v>
      </c>
    </row>
    <row r="42" spans="1:23">
      <c r="A42" s="26"/>
      <c r="B42" s="26"/>
      <c r="C42" s="27"/>
      <c r="E42" s="88">
        <f ca="1">i_rank_i!AS45</f>
        <v>2</v>
      </c>
      <c r="F42" s="127">
        <f ca="1">i_rank_i!AT45</f>
        <v>39</v>
      </c>
      <c r="G42" s="128" t="str">
        <f ca="1">i_rank_i!AU45</f>
        <v>Senegal</v>
      </c>
      <c r="H42" s="129">
        <f ca="1">i_rank_i!AV45</f>
        <v>32.6</v>
      </c>
      <c r="J42" s="88">
        <f ca="1">i_rank_i!BB45</f>
        <v>2</v>
      </c>
      <c r="K42" s="127" t="str">
        <f ca="1">i_rank_i!BC45</f>
        <v>=35</v>
      </c>
      <c r="L42" s="128" t="str">
        <f ca="1">i_rank_i!BD45</f>
        <v>Haiti</v>
      </c>
      <c r="M42" s="129">
        <f ca="1">i_rank_i!BE45</f>
        <v>43.8</v>
      </c>
      <c r="O42" s="88">
        <f ca="1">i_rank_i!BK45</f>
        <v>2</v>
      </c>
      <c r="P42" s="127">
        <f ca="1">i_rank_i!BL45</f>
        <v>39</v>
      </c>
      <c r="Q42" s="128" t="str">
        <f ca="1">i_rank_i!BM45</f>
        <v>Yemen</v>
      </c>
      <c r="R42" s="129">
        <f ca="1">i_rank_i!BN45</f>
        <v>35.6</v>
      </c>
      <c r="T42" s="88">
        <f ca="1">i_rank_i!BT45</f>
        <v>2</v>
      </c>
      <c r="U42" s="127" t="str">
        <f ca="1">i_rank_i!BU45</f>
        <v>=30</v>
      </c>
      <c r="V42" s="128" t="str">
        <f ca="1">i_rank_i!BV45</f>
        <v>Yemen</v>
      </c>
      <c r="W42" s="129">
        <f ca="1">i_rank_i!BW45</f>
        <v>25</v>
      </c>
    </row>
    <row r="43" spans="1:23">
      <c r="A43" s="26"/>
      <c r="B43" s="26"/>
      <c r="C43" s="27"/>
      <c r="E43" s="88">
        <f ca="1">i_rank_i!AS46</f>
        <v>2</v>
      </c>
      <c r="F43" s="127">
        <f ca="1">i_rank_i!AT46</f>
        <v>40</v>
      </c>
      <c r="G43" s="128" t="str">
        <f ca="1">i_rank_i!AU46</f>
        <v>Madagascar</v>
      </c>
      <c r="H43" s="129">
        <f ca="1">i_rank_i!AV46</f>
        <v>32.299999999999997</v>
      </c>
      <c r="J43" s="88">
        <f ca="1">i_rank_i!BB46</f>
        <v>2</v>
      </c>
      <c r="K43" s="127" t="str">
        <f ca="1">i_rank_i!BC46</f>
        <v>=35</v>
      </c>
      <c r="L43" s="128" t="str">
        <f ca="1">i_rank_i!BD46</f>
        <v>Indonesia</v>
      </c>
      <c r="M43" s="129">
        <f ca="1">i_rank_i!BE46</f>
        <v>43.8</v>
      </c>
      <c r="O43" s="88">
        <f ca="1">i_rank_i!BK46</f>
        <v>2</v>
      </c>
      <c r="P43" s="127">
        <f ca="1">i_rank_i!BL46</f>
        <v>40</v>
      </c>
      <c r="Q43" s="128" t="str">
        <f ca="1">i_rank_i!BM46</f>
        <v>Ethiopia</v>
      </c>
      <c r="R43" s="129">
        <f ca="1">i_rank_i!BN46</f>
        <v>35.299999999999997</v>
      </c>
      <c r="T43" s="88">
        <f ca="1">i_rank_i!BT46</f>
        <v>2</v>
      </c>
      <c r="U43" s="127" t="str">
        <f ca="1">i_rank_i!BU46</f>
        <v>=40</v>
      </c>
      <c r="V43" s="128" t="str">
        <f ca="1">i_rank_i!BV46</f>
        <v>Azerbaijan</v>
      </c>
      <c r="W43" s="129">
        <f ca="1">i_rank_i!BW46</f>
        <v>16.7</v>
      </c>
    </row>
    <row r="44" spans="1:23">
      <c r="A44" s="26"/>
      <c r="B44" s="26"/>
      <c r="C44" s="27"/>
      <c r="E44" s="88">
        <f ca="1">i_rank_i!AS47</f>
        <v>2</v>
      </c>
      <c r="F44" s="127">
        <f ca="1">i_rank_i!AT47</f>
        <v>41</v>
      </c>
      <c r="G44" s="128" t="str">
        <f ca="1">i_rank_i!AU47</f>
        <v>Cameroon</v>
      </c>
      <c r="H44" s="129">
        <f ca="1">i_rank_i!AV47</f>
        <v>31.6</v>
      </c>
      <c r="J44" s="88">
        <f ca="1">i_rank_i!BB47</f>
        <v>2</v>
      </c>
      <c r="K44" s="127" t="str">
        <f ca="1">i_rank_i!BC47</f>
        <v>=35</v>
      </c>
      <c r="L44" s="128" t="str">
        <f ca="1">i_rank_i!BD47</f>
        <v>Mongolia</v>
      </c>
      <c r="M44" s="129">
        <f ca="1">i_rank_i!BE47</f>
        <v>43.8</v>
      </c>
      <c r="O44" s="88">
        <f ca="1">i_rank_i!BK47</f>
        <v>2</v>
      </c>
      <c r="P44" s="127" t="str">
        <f ca="1">i_rank_i!BL47</f>
        <v>=41</v>
      </c>
      <c r="Q44" s="128" t="str">
        <f ca="1">i_rank_i!BM47</f>
        <v>Dominican Republic</v>
      </c>
      <c r="R44" s="129">
        <f ca="1">i_rank_i!BN47</f>
        <v>35</v>
      </c>
      <c r="T44" s="88">
        <f ca="1">i_rank_i!BT47</f>
        <v>2</v>
      </c>
      <c r="U44" s="127" t="str">
        <f ca="1">i_rank_i!BU47</f>
        <v>=40</v>
      </c>
      <c r="V44" s="128" t="str">
        <f ca="1">i_rank_i!BV47</f>
        <v>Cameroon</v>
      </c>
      <c r="W44" s="129">
        <f ca="1">i_rank_i!BW47</f>
        <v>16.7</v>
      </c>
    </row>
    <row r="45" spans="1:23">
      <c r="A45" s="26"/>
      <c r="B45" s="26"/>
      <c r="C45" s="27"/>
      <c r="E45" s="88">
        <f ca="1">i_rank_i!AS48</f>
        <v>2</v>
      </c>
      <c r="F45" s="127">
        <f ca="1">i_rank_i!AT48</f>
        <v>42</v>
      </c>
      <c r="G45" s="128" t="str">
        <f ca="1">i_rank_i!AU48</f>
        <v>Ethiopia</v>
      </c>
      <c r="H45" s="129">
        <f ca="1">i_rank_i!AV48</f>
        <v>31.3</v>
      </c>
      <c r="J45" s="88">
        <f ca="1">i_rank_i!BB48</f>
        <v>2</v>
      </c>
      <c r="K45" s="127" t="str">
        <f ca="1">i_rank_i!BC48</f>
        <v>=35</v>
      </c>
      <c r="L45" s="128" t="str">
        <f ca="1">i_rank_i!BD48</f>
        <v>Senegal</v>
      </c>
      <c r="M45" s="129">
        <f ca="1">i_rank_i!BE48</f>
        <v>43.8</v>
      </c>
      <c r="O45" s="88">
        <f ca="1">i_rank_i!BK48</f>
        <v>2</v>
      </c>
      <c r="P45" s="127" t="str">
        <f ca="1">i_rank_i!BL48</f>
        <v>=41</v>
      </c>
      <c r="Q45" s="128" t="str">
        <f ca="1">i_rank_i!BM48</f>
        <v>Kyrgyzstan</v>
      </c>
      <c r="R45" s="129">
        <f ca="1">i_rank_i!BN48</f>
        <v>35</v>
      </c>
      <c r="T45" s="88">
        <f ca="1">i_rank_i!BT48</f>
        <v>2</v>
      </c>
      <c r="U45" s="127" t="str">
        <f ca="1">i_rank_i!BU48</f>
        <v>=40</v>
      </c>
      <c r="V45" s="128" t="str">
        <f ca="1">i_rank_i!BV48</f>
        <v>DRC</v>
      </c>
      <c r="W45" s="129">
        <f ca="1">i_rank_i!BW48</f>
        <v>16.7</v>
      </c>
    </row>
    <row r="46" spans="1:23">
      <c r="A46" s="26"/>
      <c r="B46" s="26"/>
      <c r="C46" s="27"/>
      <c r="E46" s="88">
        <f ca="1">i_rank_i!AS49</f>
        <v>2</v>
      </c>
      <c r="F46" s="127">
        <f ca="1">i_rank_i!AT49</f>
        <v>43</v>
      </c>
      <c r="G46" s="128" t="str">
        <f ca="1">i_rank_i!AU49</f>
        <v>Argentina</v>
      </c>
      <c r="H46" s="129">
        <f ca="1">i_rank_i!AV49</f>
        <v>30.8</v>
      </c>
      <c r="J46" s="88">
        <f ca="1">i_rank_i!BB49</f>
        <v>2</v>
      </c>
      <c r="K46" s="127" t="str">
        <f ca="1">i_rank_i!BC49</f>
        <v>=43</v>
      </c>
      <c r="L46" s="128" t="str">
        <f ca="1">i_rank_i!BD49</f>
        <v>Azerbaijan</v>
      </c>
      <c r="M46" s="129">
        <f ca="1">i_rank_i!BE49</f>
        <v>37.5</v>
      </c>
      <c r="O46" s="88">
        <f ca="1">i_rank_i!BK49</f>
        <v>2</v>
      </c>
      <c r="P46" s="127">
        <f ca="1">i_rank_i!BL49</f>
        <v>43</v>
      </c>
      <c r="Q46" s="128" t="str">
        <f ca="1">i_rank_i!BM49</f>
        <v>Nigeria</v>
      </c>
      <c r="R46" s="129">
        <f ca="1">i_rank_i!BN49</f>
        <v>34.200000000000003</v>
      </c>
      <c r="T46" s="88">
        <f ca="1">i_rank_i!BT49</f>
        <v>2</v>
      </c>
      <c r="U46" s="127" t="str">
        <f ca="1">i_rank_i!BU49</f>
        <v>=40</v>
      </c>
      <c r="V46" s="128" t="str">
        <f ca="1">i_rank_i!BV49</f>
        <v>Ethiopia</v>
      </c>
      <c r="W46" s="129">
        <f ca="1">i_rank_i!BW49</f>
        <v>16.7</v>
      </c>
    </row>
    <row r="47" spans="1:23">
      <c r="A47" s="26"/>
      <c r="B47" s="26"/>
      <c r="C47" s="27"/>
      <c r="E47" s="88">
        <f ca="1">i_rank_i!AS50</f>
        <v>2</v>
      </c>
      <c r="F47" s="127" t="str">
        <f ca="1">i_rank_i!AT50</f>
        <v>=44</v>
      </c>
      <c r="G47" s="128" t="str">
        <f ca="1">i_rank_i!AU50</f>
        <v>Morocco</v>
      </c>
      <c r="H47" s="129">
        <f ca="1">i_rank_i!AV50</f>
        <v>30.3</v>
      </c>
      <c r="J47" s="88">
        <f ca="1">i_rank_i!BB50</f>
        <v>2</v>
      </c>
      <c r="K47" s="127" t="str">
        <f ca="1">i_rank_i!BC50</f>
        <v>=43</v>
      </c>
      <c r="L47" s="128" t="str">
        <f ca="1">i_rank_i!BD50</f>
        <v>Lebanon</v>
      </c>
      <c r="M47" s="129">
        <f ca="1">i_rank_i!BE50</f>
        <v>37.5</v>
      </c>
      <c r="O47" s="88">
        <f ca="1">i_rank_i!BK50</f>
        <v>2</v>
      </c>
      <c r="P47" s="127">
        <f ca="1">i_rank_i!BL50</f>
        <v>44</v>
      </c>
      <c r="Q47" s="128" t="str">
        <f ca="1">i_rank_i!BM50</f>
        <v>China</v>
      </c>
      <c r="R47" s="129">
        <f ca="1">i_rank_i!BN50</f>
        <v>33.1</v>
      </c>
      <c r="T47" s="88">
        <f ca="1">i_rank_i!BT50</f>
        <v>2</v>
      </c>
      <c r="U47" s="127" t="str">
        <f ca="1">i_rank_i!BU50</f>
        <v>=40</v>
      </c>
      <c r="V47" s="128" t="str">
        <f ca="1">i_rank_i!BV50</f>
        <v>Lebanon</v>
      </c>
      <c r="W47" s="129">
        <f ca="1">i_rank_i!BW50</f>
        <v>16.7</v>
      </c>
    </row>
    <row r="48" spans="1:23">
      <c r="A48" s="26"/>
      <c r="B48" s="26"/>
      <c r="C48" s="27"/>
      <c r="E48" s="88">
        <f ca="1">i_rank_i!AS51</f>
        <v>2</v>
      </c>
      <c r="F48" s="127" t="str">
        <f ca="1">i_rank_i!AT51</f>
        <v>=44</v>
      </c>
      <c r="G48" s="128" t="str">
        <f ca="1">i_rank_i!AU51</f>
        <v>Turkey</v>
      </c>
      <c r="H48" s="129">
        <f ca="1">i_rank_i!AV51</f>
        <v>30.3</v>
      </c>
      <c r="J48" s="88">
        <f ca="1">i_rank_i!BB51</f>
        <v>2</v>
      </c>
      <c r="K48" s="127" t="str">
        <f ca="1">i_rank_i!BC51</f>
        <v>=43</v>
      </c>
      <c r="L48" s="128" t="str">
        <f ca="1">i_rank_i!BD51</f>
        <v>Morocco</v>
      </c>
      <c r="M48" s="129">
        <f ca="1">i_rank_i!BE51</f>
        <v>37.5</v>
      </c>
      <c r="O48" s="88">
        <f ca="1">i_rank_i!BK51</f>
        <v>2</v>
      </c>
      <c r="P48" s="127">
        <f ca="1">i_rank_i!BL51</f>
        <v>45</v>
      </c>
      <c r="Q48" s="128" t="str">
        <f ca="1">i_rank_i!BM51</f>
        <v>Thailand</v>
      </c>
      <c r="R48" s="129">
        <f ca="1">i_rank_i!BN51</f>
        <v>31.1</v>
      </c>
      <c r="T48" s="88">
        <f ca="1">i_rank_i!BT51</f>
        <v>2</v>
      </c>
      <c r="U48" s="127" t="str">
        <f ca="1">i_rank_i!BU51</f>
        <v>=40</v>
      </c>
      <c r="V48" s="128" t="str">
        <f ca="1">i_rank_i!BV51</f>
        <v>Madagascar</v>
      </c>
      <c r="W48" s="129">
        <f ca="1">i_rank_i!BW51</f>
        <v>16.7</v>
      </c>
    </row>
    <row r="49" spans="1:23">
      <c r="A49" s="26"/>
      <c r="B49" s="26"/>
      <c r="C49" s="27"/>
      <c r="E49" s="88">
        <f ca="1">i_rank_i!AS52</f>
        <v>2</v>
      </c>
      <c r="F49" s="127" t="str">
        <f ca="1">i_rank_i!AT52</f>
        <v>=46</v>
      </c>
      <c r="G49" s="128" t="str">
        <f ca="1">i_rank_i!AU52</f>
        <v>Mongolia</v>
      </c>
      <c r="H49" s="129">
        <f ca="1">i_rank_i!AV52</f>
        <v>30</v>
      </c>
      <c r="J49" s="88">
        <f ca="1">i_rank_i!BB52</f>
        <v>2</v>
      </c>
      <c r="K49" s="127" t="str">
        <f ca="1">i_rank_i!BC52</f>
        <v>=46</v>
      </c>
      <c r="L49" s="128" t="str">
        <f ca="1">i_rank_i!BD52</f>
        <v>Nepal</v>
      </c>
      <c r="M49" s="129">
        <f ca="1">i_rank_i!BE52</f>
        <v>31.3</v>
      </c>
      <c r="O49" s="88">
        <f ca="1">i_rank_i!BK52</f>
        <v>2</v>
      </c>
      <c r="P49" s="127">
        <f ca="1">i_rank_i!BL52</f>
        <v>46</v>
      </c>
      <c r="Q49" s="128" t="str">
        <f ca="1">i_rank_i!BM52</f>
        <v>Tajikistan</v>
      </c>
      <c r="R49" s="129">
        <f ca="1">i_rank_i!BN52</f>
        <v>30.8</v>
      </c>
      <c r="T49" s="88">
        <f ca="1">i_rank_i!BT52</f>
        <v>2</v>
      </c>
      <c r="U49" s="127" t="str">
        <f ca="1">i_rank_i!BU52</f>
        <v>=40</v>
      </c>
      <c r="V49" s="128" t="str">
        <f ca="1">i_rank_i!BV52</f>
        <v>Senegal</v>
      </c>
      <c r="W49" s="129">
        <f ca="1">i_rank_i!BW52</f>
        <v>16.7</v>
      </c>
    </row>
    <row r="50" spans="1:23">
      <c r="A50" s="26"/>
      <c r="B50" s="26"/>
      <c r="C50" s="27"/>
      <c r="E50" s="88">
        <f ca="1">i_rank_i!AS53</f>
        <v>2</v>
      </c>
      <c r="F50" s="127" t="str">
        <f ca="1">i_rank_i!AT53</f>
        <v>=46</v>
      </c>
      <c r="G50" s="128" t="str">
        <f ca="1">i_rank_i!AU53</f>
        <v>Nepal</v>
      </c>
      <c r="H50" s="129">
        <f ca="1">i_rank_i!AV53</f>
        <v>30</v>
      </c>
      <c r="J50" s="88">
        <f ca="1">i_rank_i!BB53</f>
        <v>2</v>
      </c>
      <c r="K50" s="127" t="str">
        <f ca="1">i_rank_i!BC53</f>
        <v>=46</v>
      </c>
      <c r="L50" s="128" t="str">
        <f ca="1">i_rank_i!BD53</f>
        <v>Sri Lanka</v>
      </c>
      <c r="M50" s="129">
        <f ca="1">i_rank_i!BE53</f>
        <v>31.3</v>
      </c>
      <c r="O50" s="88">
        <f ca="1">i_rank_i!BK53</f>
        <v>2</v>
      </c>
      <c r="P50" s="127">
        <f ca="1">i_rank_i!BL53</f>
        <v>47</v>
      </c>
      <c r="Q50" s="128" t="str">
        <f ca="1">i_rank_i!BM53</f>
        <v>Rwanda</v>
      </c>
      <c r="R50" s="129">
        <f ca="1">i_rank_i!BN53</f>
        <v>30.3</v>
      </c>
      <c r="T50" s="88">
        <f ca="1">i_rank_i!BT53</f>
        <v>2</v>
      </c>
      <c r="U50" s="127" t="str">
        <f ca="1">i_rank_i!BU53</f>
        <v>=40</v>
      </c>
      <c r="V50" s="128" t="str">
        <f ca="1">i_rank_i!BV53</f>
        <v>Tajikistan</v>
      </c>
      <c r="W50" s="129">
        <f ca="1">i_rank_i!BW53</f>
        <v>16.7</v>
      </c>
    </row>
    <row r="51" spans="1:23">
      <c r="A51" s="26"/>
      <c r="B51" s="26"/>
      <c r="C51" s="27"/>
      <c r="E51" s="88">
        <f ca="1">i_rank_i!AS54</f>
        <v>2</v>
      </c>
      <c r="F51" s="127">
        <f ca="1">i_rank_i!AT54</f>
        <v>48</v>
      </c>
      <c r="G51" s="128" t="str">
        <f ca="1">i_rank_i!AU54</f>
        <v>Lebanon</v>
      </c>
      <c r="H51" s="129">
        <f ca="1">i_rank_i!AV54</f>
        <v>29.3</v>
      </c>
      <c r="J51" s="88">
        <f ca="1">i_rank_i!BB54</f>
        <v>2</v>
      </c>
      <c r="K51" s="127" t="str">
        <f ca="1">i_rank_i!BC54</f>
        <v>=46</v>
      </c>
      <c r="L51" s="128" t="str">
        <f ca="1">i_rank_i!BD54</f>
        <v>Uruguay</v>
      </c>
      <c r="M51" s="129">
        <f ca="1">i_rank_i!BE54</f>
        <v>31.3</v>
      </c>
      <c r="O51" s="88">
        <f ca="1">i_rank_i!BK54</f>
        <v>2</v>
      </c>
      <c r="P51" s="127">
        <f ca="1">i_rank_i!BL54</f>
        <v>48</v>
      </c>
      <c r="Q51" s="128" t="str">
        <f ca="1">i_rank_i!BM54</f>
        <v>Honduras</v>
      </c>
      <c r="R51" s="129">
        <f ca="1">i_rank_i!BN54</f>
        <v>29.7</v>
      </c>
      <c r="T51" s="88">
        <f ca="1">i_rank_i!BT54</f>
        <v>2</v>
      </c>
      <c r="U51" s="127" t="str">
        <f ca="1">i_rank_i!BU54</f>
        <v>=40</v>
      </c>
      <c r="V51" s="128" t="str">
        <f ca="1">i_rank_i!BV54</f>
        <v>Trinidad and Tobago</v>
      </c>
      <c r="W51" s="129">
        <f ca="1">i_rank_i!BW54</f>
        <v>16.7</v>
      </c>
    </row>
    <row r="52" spans="1:23">
      <c r="A52" s="26"/>
      <c r="B52" s="26"/>
      <c r="C52" s="27"/>
      <c r="E52" s="88">
        <f ca="1">i_rank_i!AS55</f>
        <v>2</v>
      </c>
      <c r="F52" s="127">
        <f ca="1">i_rank_i!AT55</f>
        <v>49</v>
      </c>
      <c r="G52" s="128" t="str">
        <f ca="1">i_rank_i!AU55</f>
        <v>Azerbaijan</v>
      </c>
      <c r="H52" s="129">
        <f ca="1">i_rank_i!AV55</f>
        <v>29</v>
      </c>
      <c r="J52" s="88">
        <f ca="1">i_rank_i!BB55</f>
        <v>2</v>
      </c>
      <c r="K52" s="127" t="str">
        <f ca="1">i_rank_i!BC55</f>
        <v>=46</v>
      </c>
      <c r="L52" s="128" t="str">
        <f ca="1">i_rank_i!BD55</f>
        <v>Vietnam</v>
      </c>
      <c r="M52" s="129">
        <f ca="1">i_rank_i!BE55</f>
        <v>31.3</v>
      </c>
      <c r="O52" s="88">
        <f ca="1">i_rank_i!BK55</f>
        <v>2</v>
      </c>
      <c r="P52" s="127">
        <f ca="1">i_rank_i!BL55</f>
        <v>49</v>
      </c>
      <c r="Q52" s="128" t="str">
        <f ca="1">i_rank_i!BM55</f>
        <v>Haiti</v>
      </c>
      <c r="R52" s="129">
        <f ca="1">i_rank_i!BN55</f>
        <v>29.4</v>
      </c>
      <c r="T52" s="88">
        <f ca="1">i_rank_i!BT55</f>
        <v>2</v>
      </c>
      <c r="U52" s="127" t="str">
        <f ca="1">i_rank_i!BU55</f>
        <v>=40</v>
      </c>
      <c r="V52" s="128" t="str">
        <f ca="1">i_rank_i!BV55</f>
        <v>Turkey</v>
      </c>
      <c r="W52" s="129">
        <f ca="1">i_rank_i!BW55</f>
        <v>16.7</v>
      </c>
    </row>
    <row r="53" spans="1:23">
      <c r="A53" s="26"/>
      <c r="B53" s="26"/>
      <c r="C53" s="27"/>
      <c r="E53" s="88">
        <f ca="1">i_rank_i!AS56</f>
        <v>2</v>
      </c>
      <c r="F53" s="127">
        <f ca="1">i_rank_i!AT56</f>
        <v>50</v>
      </c>
      <c r="G53" s="128" t="str">
        <f ca="1">i_rank_i!AU56</f>
        <v>Uruguay</v>
      </c>
      <c r="H53" s="129">
        <f ca="1">i_rank_i!AV56</f>
        <v>28.4</v>
      </c>
      <c r="J53" s="88">
        <f ca="1">i_rank_i!BB56</f>
        <v>2</v>
      </c>
      <c r="K53" s="127" t="str">
        <f ca="1">i_rank_i!BC56</f>
        <v>=50</v>
      </c>
      <c r="L53" s="128" t="str">
        <f ca="1">i_rank_i!BD56</f>
        <v>Argentina</v>
      </c>
      <c r="M53" s="129">
        <f ca="1">i_rank_i!BE56</f>
        <v>25</v>
      </c>
      <c r="O53" s="88">
        <f ca="1">i_rank_i!BK56</f>
        <v>2</v>
      </c>
      <c r="P53" s="127">
        <f ca="1">i_rank_i!BL56</f>
        <v>50</v>
      </c>
      <c r="Q53" s="128" t="str">
        <f ca="1">i_rank_i!BM56</f>
        <v>Vietnam</v>
      </c>
      <c r="R53" s="129">
        <f ca="1">i_rank_i!BN56</f>
        <v>28.6</v>
      </c>
      <c r="T53" s="88">
        <f ca="1">i_rank_i!BT56</f>
        <v>2</v>
      </c>
      <c r="U53" s="127" t="str">
        <f ca="1">i_rank_i!BU56</f>
        <v>=40</v>
      </c>
      <c r="V53" s="128" t="str">
        <f ca="1">i_rank_i!BV56</f>
        <v>Uruguay</v>
      </c>
      <c r="W53" s="129">
        <f ca="1">i_rank_i!BW56</f>
        <v>16.7</v>
      </c>
    </row>
    <row r="54" spans="1:23">
      <c r="A54" s="26"/>
      <c r="B54" s="26"/>
      <c r="C54" s="27"/>
      <c r="E54" s="88">
        <f ca="1">i_rank_i!AS57</f>
        <v>2</v>
      </c>
      <c r="F54" s="127">
        <f ca="1">i_rank_i!AT57</f>
        <v>51</v>
      </c>
      <c r="G54" s="128" t="str">
        <f ca="1">i_rank_i!AU57</f>
        <v>Venezuela</v>
      </c>
      <c r="H54" s="129">
        <f ca="1">i_rank_i!AV57</f>
        <v>24.1</v>
      </c>
      <c r="J54" s="88">
        <f ca="1">i_rank_i!BB57</f>
        <v>2</v>
      </c>
      <c r="K54" s="127" t="str">
        <f ca="1">i_rank_i!BC57</f>
        <v>=50</v>
      </c>
      <c r="L54" s="128" t="str">
        <f ca="1">i_rank_i!BD57</f>
        <v>Jamaica</v>
      </c>
      <c r="M54" s="129">
        <f ca="1">i_rank_i!BE57</f>
        <v>25</v>
      </c>
      <c r="O54" s="88">
        <f ca="1">i_rank_i!BK57</f>
        <v>2</v>
      </c>
      <c r="P54" s="127">
        <f ca="1">i_rank_i!BL57</f>
        <v>51</v>
      </c>
      <c r="Q54" s="128" t="str">
        <f ca="1">i_rank_i!BM57</f>
        <v>Madagascar</v>
      </c>
      <c r="R54" s="129">
        <f ca="1">i_rank_i!BN57</f>
        <v>28.1</v>
      </c>
      <c r="T54" s="88">
        <f ca="1">i_rank_i!BT57</f>
        <v>2</v>
      </c>
      <c r="U54" s="127" t="str">
        <f ca="1">i_rank_i!BU57</f>
        <v>=40</v>
      </c>
      <c r="V54" s="128" t="str">
        <f ca="1">i_rank_i!BV57</f>
        <v>Venezuela</v>
      </c>
      <c r="W54" s="129">
        <f ca="1">i_rank_i!BW57</f>
        <v>16.7</v>
      </c>
    </row>
    <row r="55" spans="1:23">
      <c r="A55" s="26"/>
      <c r="B55" s="26"/>
      <c r="C55" s="27"/>
      <c r="E55" s="88">
        <f ca="1">i_rank_i!AS58</f>
        <v>2</v>
      </c>
      <c r="F55" s="127">
        <f ca="1">i_rank_i!AT58</f>
        <v>52</v>
      </c>
      <c r="G55" s="128" t="str">
        <f ca="1">i_rank_i!AU58</f>
        <v>Jamaica</v>
      </c>
      <c r="H55" s="129">
        <f ca="1">i_rank_i!AV58</f>
        <v>23.7</v>
      </c>
      <c r="J55" s="88">
        <f ca="1">i_rank_i!BB58</f>
        <v>2</v>
      </c>
      <c r="K55" s="127" t="str">
        <f ca="1">i_rank_i!BC58</f>
        <v>=50</v>
      </c>
      <c r="L55" s="128" t="str">
        <f ca="1">i_rank_i!BD58</f>
        <v>Turkey</v>
      </c>
      <c r="M55" s="129">
        <f ca="1">i_rank_i!BE58</f>
        <v>25</v>
      </c>
      <c r="O55" s="88">
        <f ca="1">i_rank_i!BK58</f>
        <v>2</v>
      </c>
      <c r="P55" s="127">
        <f ca="1">i_rank_i!BL58</f>
        <v>52</v>
      </c>
      <c r="Q55" s="128" t="str">
        <f ca="1">i_rank_i!BM58</f>
        <v>Ecuador</v>
      </c>
      <c r="R55" s="129">
        <f ca="1">i_rank_i!BN58</f>
        <v>27.5</v>
      </c>
      <c r="T55" s="88">
        <f ca="1">i_rank_i!BT58</f>
        <v>2</v>
      </c>
      <c r="U55" s="127" t="str">
        <f ca="1">i_rank_i!BU58</f>
        <v>=52</v>
      </c>
      <c r="V55" s="128" t="str">
        <f ca="1">i_rank_i!BV58</f>
        <v>Jamaica</v>
      </c>
      <c r="W55" s="129">
        <f ca="1">i_rank_i!BW58</f>
        <v>8.3000000000000007</v>
      </c>
    </row>
    <row r="56" spans="1:23">
      <c r="A56" s="26"/>
      <c r="B56" s="26"/>
      <c r="C56" s="27"/>
      <c r="E56" s="88">
        <f ca="1">i_rank_i!AS59</f>
        <v>2</v>
      </c>
      <c r="F56" s="127">
        <f ca="1">i_rank_i!AT59</f>
        <v>53</v>
      </c>
      <c r="G56" s="128" t="str">
        <f ca="1">i_rank_i!AU59</f>
        <v>Trinidad and Tobago</v>
      </c>
      <c r="H56" s="129">
        <f ca="1">i_rank_i!AV59</f>
        <v>22.9</v>
      </c>
      <c r="J56" s="88">
        <f ca="1">i_rank_i!BB59</f>
        <v>2</v>
      </c>
      <c r="K56" s="127" t="str">
        <f ca="1">i_rank_i!BC59</f>
        <v>=50</v>
      </c>
      <c r="L56" s="128" t="str">
        <f ca="1">i_rank_i!BD59</f>
        <v>Venezuela</v>
      </c>
      <c r="M56" s="129">
        <f ca="1">i_rank_i!BE59</f>
        <v>25</v>
      </c>
      <c r="O56" s="88">
        <f ca="1">i_rank_i!BK59</f>
        <v>2</v>
      </c>
      <c r="P56" s="127">
        <f ca="1">i_rank_i!BL59</f>
        <v>53</v>
      </c>
      <c r="Q56" s="128" t="str">
        <f ca="1">i_rank_i!BM59</f>
        <v>DRC</v>
      </c>
      <c r="R56" s="129">
        <f ca="1">i_rank_i!BN59</f>
        <v>25.8</v>
      </c>
      <c r="T56" s="88">
        <f ca="1">i_rank_i!BT59</f>
        <v>2</v>
      </c>
      <c r="U56" s="127" t="str">
        <f ca="1">i_rank_i!BU59</f>
        <v>=52</v>
      </c>
      <c r="V56" s="128" t="str">
        <f ca="1">i_rank_i!BV59</f>
        <v>Mongolia</v>
      </c>
      <c r="W56" s="129">
        <f ca="1">i_rank_i!BW59</f>
        <v>8.3000000000000007</v>
      </c>
    </row>
    <row r="57" spans="1:23">
      <c r="A57" s="26"/>
      <c r="B57" s="26"/>
      <c r="C57" s="27"/>
      <c r="E57" s="88">
        <f ca="1">i_rank_i!AS60</f>
        <v>2</v>
      </c>
      <c r="F57" s="127">
        <f ca="1">i_rank_i!AT60</f>
        <v>54</v>
      </c>
      <c r="G57" s="128" t="str">
        <f ca="1">i_rank_i!AU60</f>
        <v>Vietnam</v>
      </c>
      <c r="H57" s="129">
        <f ca="1">i_rank_i!AV60</f>
        <v>21.6</v>
      </c>
      <c r="J57" s="88">
        <f ca="1">i_rank_i!BB60</f>
        <v>2</v>
      </c>
      <c r="K57" s="127" t="str">
        <f ca="1">i_rank_i!BC60</f>
        <v>=54</v>
      </c>
      <c r="L57" s="128" t="str">
        <f ca="1">i_rank_i!BD60</f>
        <v>Thailand</v>
      </c>
      <c r="M57" s="129">
        <f ca="1">i_rank_i!BE60</f>
        <v>12.5</v>
      </c>
      <c r="O57" s="88">
        <f ca="1">i_rank_i!BK60</f>
        <v>2</v>
      </c>
      <c r="P57" s="127">
        <f ca="1">i_rank_i!BL60</f>
        <v>54</v>
      </c>
      <c r="Q57" s="128" t="str">
        <f ca="1">i_rank_i!BM60</f>
        <v>Cameroon</v>
      </c>
      <c r="R57" s="129">
        <f ca="1">i_rank_i!BN60</f>
        <v>24.7</v>
      </c>
      <c r="T57" s="88">
        <f ca="1">i_rank_i!BT60</f>
        <v>2</v>
      </c>
      <c r="U57" s="127" t="str">
        <f ca="1">i_rank_i!BU60</f>
        <v>=52</v>
      </c>
      <c r="V57" s="128" t="str">
        <f ca="1">i_rank_i!BV60</f>
        <v>Morocco</v>
      </c>
      <c r="W57" s="129">
        <f ca="1">i_rank_i!BW60</f>
        <v>8.3000000000000007</v>
      </c>
    </row>
    <row r="58" spans="1:23">
      <c r="A58" s="26"/>
      <c r="B58" s="26"/>
      <c r="C58" s="27"/>
      <c r="E58" s="88">
        <f ca="1">i_rank_i!AS61</f>
        <v>2</v>
      </c>
      <c r="F58" s="127">
        <f ca="1">i_rank_i!AT61</f>
        <v>55</v>
      </c>
      <c r="G58" s="128" t="str">
        <f ca="1">i_rank_i!AU61</f>
        <v>Thailand</v>
      </c>
      <c r="H58" s="129">
        <f ca="1">i_rank_i!AV61</f>
        <v>21.2</v>
      </c>
      <c r="J58" s="88">
        <f ca="1">i_rank_i!BB61</f>
        <v>2</v>
      </c>
      <c r="K58" s="127" t="str">
        <f ca="1">i_rank_i!BC61</f>
        <v>=54</v>
      </c>
      <c r="L58" s="128" t="str">
        <f ca="1">i_rank_i!BD61</f>
        <v>Trinidad and Tobago</v>
      </c>
      <c r="M58" s="129">
        <f ca="1">i_rank_i!BE61</f>
        <v>12.5</v>
      </c>
      <c r="O58" s="88">
        <f ca="1">i_rank_i!BK61</f>
        <v>2</v>
      </c>
      <c r="P58" s="127">
        <f ca="1">i_rank_i!BL61</f>
        <v>55</v>
      </c>
      <c r="Q58" s="128" t="str">
        <f ca="1">i_rank_i!BM61</f>
        <v>Nepal</v>
      </c>
      <c r="R58" s="129">
        <f ca="1">i_rank_i!BN61</f>
        <v>20.8</v>
      </c>
      <c r="T58" s="88">
        <f ca="1">i_rank_i!BT61</f>
        <v>2</v>
      </c>
      <c r="U58" s="127" t="str">
        <f ca="1">i_rank_i!BU61</f>
        <v>=52</v>
      </c>
      <c r="V58" s="128" t="str">
        <f ca="1">i_rank_i!BV61</f>
        <v>Vietnam</v>
      </c>
      <c r="W58" s="129">
        <f ca="1">i_rank_i!BW61</f>
        <v>8.3000000000000007</v>
      </c>
    </row>
    <row r="59" spans="1:23">
      <c r="A59" s="26"/>
      <c r="B59" s="26"/>
      <c r="C59" s="27"/>
      <c r="E59" s="88">
        <f ca="1">i_rank_i!AS62</f>
        <v>0</v>
      </c>
      <c r="F59" s="127" t="str">
        <f ca="1">i_rank_i!AT62</f>
        <v/>
      </c>
      <c r="G59" s="128" t="str">
        <f ca="1">i_rank_i!AU62</f>
        <v/>
      </c>
      <c r="H59" s="129" t="str">
        <f ca="1">i_rank_i!AV62</f>
        <v/>
      </c>
      <c r="J59" s="88">
        <f ca="1">i_rank_i!BB62</f>
        <v>0</v>
      </c>
      <c r="K59" s="127" t="str">
        <f ca="1">i_rank_i!BC62</f>
        <v/>
      </c>
      <c r="L59" s="128" t="str">
        <f ca="1">i_rank_i!BD62</f>
        <v/>
      </c>
      <c r="M59" s="129" t="str">
        <f ca="1">i_rank_i!BE62</f>
        <v/>
      </c>
      <c r="O59" s="88">
        <f ca="1">i_rank_i!BK62</f>
        <v>0</v>
      </c>
      <c r="P59" s="127" t="str">
        <f ca="1">i_rank_i!BL62</f>
        <v/>
      </c>
      <c r="Q59" s="128" t="str">
        <f ca="1">i_rank_i!BM62</f>
        <v/>
      </c>
      <c r="R59" s="129" t="str">
        <f ca="1">i_rank_i!BN62</f>
        <v/>
      </c>
      <c r="T59" s="88">
        <f ca="1">i_rank_i!BT62</f>
        <v>0</v>
      </c>
      <c r="U59" s="127" t="str">
        <f ca="1">i_rank_i!BU62</f>
        <v/>
      </c>
      <c r="V59" s="128" t="str">
        <f ca="1">i_rank_i!BV62</f>
        <v/>
      </c>
      <c r="W59" s="129" t="str">
        <f ca="1">i_rank_i!BW62</f>
        <v/>
      </c>
    </row>
    <row r="60" spans="1:23">
      <c r="A60" s="26"/>
      <c r="B60" s="26"/>
      <c r="C60" s="27"/>
      <c r="E60" s="88">
        <f ca="1">i_rank_i!AS63</f>
        <v>0</v>
      </c>
      <c r="F60" s="127" t="str">
        <f ca="1">i_rank_i!AT63</f>
        <v/>
      </c>
      <c r="G60" s="128" t="str">
        <f ca="1">i_rank_i!AU63</f>
        <v/>
      </c>
      <c r="H60" s="129" t="str">
        <f ca="1">i_rank_i!AV63</f>
        <v/>
      </c>
      <c r="J60" s="88">
        <f ca="1">i_rank_i!BB63</f>
        <v>0</v>
      </c>
      <c r="K60" s="127" t="str">
        <f ca="1">i_rank_i!BC63</f>
        <v/>
      </c>
      <c r="L60" s="128" t="str">
        <f ca="1">i_rank_i!BD63</f>
        <v/>
      </c>
      <c r="M60" s="129" t="str">
        <f ca="1">i_rank_i!BE63</f>
        <v/>
      </c>
      <c r="O60" s="88">
        <f ca="1">i_rank_i!BK63</f>
        <v>0</v>
      </c>
      <c r="P60" s="127" t="str">
        <f ca="1">i_rank_i!BL63</f>
        <v/>
      </c>
      <c r="Q60" s="128" t="str">
        <f ca="1">i_rank_i!BM63</f>
        <v/>
      </c>
      <c r="R60" s="129" t="str">
        <f ca="1">i_rank_i!BN63</f>
        <v/>
      </c>
      <c r="T60" s="88">
        <f ca="1">i_rank_i!BT63</f>
        <v>0</v>
      </c>
      <c r="U60" s="127" t="str">
        <f ca="1">i_rank_i!BU63</f>
        <v/>
      </c>
      <c r="V60" s="128" t="str">
        <f ca="1">i_rank_i!BV63</f>
        <v/>
      </c>
      <c r="W60" s="129" t="str">
        <f ca="1">i_rank_i!BW63</f>
        <v/>
      </c>
    </row>
    <row r="61" spans="1:23">
      <c r="A61" s="26"/>
      <c r="B61" s="26"/>
      <c r="C61" s="27"/>
      <c r="E61" s="88">
        <f ca="1">i_rank_i!AS64</f>
        <v>0</v>
      </c>
      <c r="F61" s="127" t="str">
        <f ca="1">i_rank_i!AT64</f>
        <v/>
      </c>
      <c r="G61" s="128" t="str">
        <f ca="1">i_rank_i!AU64</f>
        <v/>
      </c>
      <c r="H61" s="129" t="str">
        <f ca="1">i_rank_i!AV64</f>
        <v/>
      </c>
      <c r="J61" s="88">
        <f ca="1">i_rank_i!BB64</f>
        <v>0</v>
      </c>
      <c r="K61" s="127" t="str">
        <f ca="1">i_rank_i!BC64</f>
        <v/>
      </c>
      <c r="L61" s="128" t="str">
        <f ca="1">i_rank_i!BD64</f>
        <v/>
      </c>
      <c r="M61" s="129" t="str">
        <f ca="1">i_rank_i!BE64</f>
        <v/>
      </c>
      <c r="O61" s="88">
        <f ca="1">i_rank_i!BK64</f>
        <v>0</v>
      </c>
      <c r="P61" s="127" t="str">
        <f ca="1">i_rank_i!BL64</f>
        <v/>
      </c>
      <c r="Q61" s="128" t="str">
        <f ca="1">i_rank_i!BM64</f>
        <v/>
      </c>
      <c r="R61" s="129" t="str">
        <f ca="1">i_rank_i!BN64</f>
        <v/>
      </c>
      <c r="T61" s="88">
        <f ca="1">i_rank_i!BT64</f>
        <v>0</v>
      </c>
      <c r="U61" s="127" t="str">
        <f ca="1">i_rank_i!BU64</f>
        <v/>
      </c>
      <c r="V61" s="128" t="str">
        <f ca="1">i_rank_i!BV64</f>
        <v/>
      </c>
      <c r="W61" s="129" t="str">
        <f ca="1">i_rank_i!BW64</f>
        <v/>
      </c>
    </row>
    <row r="62" spans="1:23">
      <c r="A62" s="26"/>
      <c r="B62" s="26"/>
      <c r="C62" s="27"/>
      <c r="E62" s="88">
        <f ca="1">i_rank_i!AS65</f>
        <v>0</v>
      </c>
      <c r="F62" s="127" t="str">
        <f ca="1">i_rank_i!AT65</f>
        <v/>
      </c>
      <c r="G62" s="128" t="str">
        <f ca="1">i_rank_i!AU65</f>
        <v/>
      </c>
      <c r="H62" s="129" t="str">
        <f ca="1">i_rank_i!AV65</f>
        <v/>
      </c>
      <c r="J62" s="88">
        <f ca="1">i_rank_i!BB65</f>
        <v>0</v>
      </c>
      <c r="K62" s="127" t="str">
        <f ca="1">i_rank_i!BC65</f>
        <v/>
      </c>
      <c r="L62" s="128" t="str">
        <f ca="1">i_rank_i!BD65</f>
        <v/>
      </c>
      <c r="M62" s="129" t="str">
        <f ca="1">i_rank_i!BE65</f>
        <v/>
      </c>
      <c r="O62" s="88">
        <f ca="1">i_rank_i!BK65</f>
        <v>0</v>
      </c>
      <c r="P62" s="127" t="str">
        <f ca="1">i_rank_i!BL65</f>
        <v/>
      </c>
      <c r="Q62" s="128" t="str">
        <f ca="1">i_rank_i!BM65</f>
        <v/>
      </c>
      <c r="R62" s="129" t="str">
        <f ca="1">i_rank_i!BN65</f>
        <v/>
      </c>
      <c r="T62" s="88">
        <f ca="1">i_rank_i!BT65</f>
        <v>0</v>
      </c>
      <c r="U62" s="127" t="str">
        <f ca="1">i_rank_i!BU65</f>
        <v/>
      </c>
      <c r="V62" s="128" t="str">
        <f ca="1">i_rank_i!BV65</f>
        <v/>
      </c>
      <c r="W62" s="129" t="str">
        <f ca="1">i_rank_i!BW65</f>
        <v/>
      </c>
    </row>
    <row r="63" spans="1:23">
      <c r="A63" s="26"/>
      <c r="B63" s="26"/>
      <c r="C63" s="27"/>
      <c r="E63" s="88">
        <f ca="1">i_rank_i!AS66</f>
        <v>0</v>
      </c>
      <c r="F63" s="127" t="str">
        <f ca="1">i_rank_i!AT66</f>
        <v/>
      </c>
      <c r="G63" s="128" t="str">
        <f ca="1">i_rank_i!AU66</f>
        <v/>
      </c>
      <c r="H63" s="129" t="str">
        <f ca="1">i_rank_i!AV66</f>
        <v/>
      </c>
      <c r="J63" s="88">
        <f ca="1">i_rank_i!BB66</f>
        <v>0</v>
      </c>
      <c r="K63" s="127" t="str">
        <f ca="1">i_rank_i!BC66</f>
        <v/>
      </c>
      <c r="L63" s="128" t="str">
        <f ca="1">i_rank_i!BD66</f>
        <v/>
      </c>
      <c r="M63" s="129" t="str">
        <f ca="1">i_rank_i!BE66</f>
        <v/>
      </c>
      <c r="O63" s="88">
        <f ca="1">i_rank_i!BK66</f>
        <v>0</v>
      </c>
      <c r="P63" s="127" t="str">
        <f ca="1">i_rank_i!BL66</f>
        <v/>
      </c>
      <c r="Q63" s="128" t="str">
        <f ca="1">i_rank_i!BM66</f>
        <v/>
      </c>
      <c r="R63" s="129" t="str">
        <f ca="1">i_rank_i!BN66</f>
        <v/>
      </c>
      <c r="T63" s="88">
        <f ca="1">i_rank_i!BT66</f>
        <v>0</v>
      </c>
      <c r="U63" s="127" t="str">
        <f ca="1">i_rank_i!BU66</f>
        <v/>
      </c>
      <c r="V63" s="128" t="str">
        <f ca="1">i_rank_i!BV66</f>
        <v/>
      </c>
      <c r="W63" s="129" t="str">
        <f ca="1">i_rank_i!BW66</f>
        <v/>
      </c>
    </row>
    <row r="64" spans="1:23">
      <c r="A64" s="26"/>
      <c r="B64" s="26"/>
      <c r="C64" s="27"/>
      <c r="E64" s="88">
        <f ca="1">i_rank_i!AS67</f>
        <v>0</v>
      </c>
      <c r="F64" s="127" t="str">
        <f ca="1">i_rank_i!AT67</f>
        <v/>
      </c>
      <c r="G64" s="128" t="str">
        <f ca="1">i_rank_i!AU67</f>
        <v/>
      </c>
      <c r="H64" s="129" t="str">
        <f ca="1">i_rank_i!AV67</f>
        <v/>
      </c>
      <c r="J64" s="88">
        <f ca="1">i_rank_i!BB67</f>
        <v>0</v>
      </c>
      <c r="K64" s="127" t="str">
        <f ca="1">i_rank_i!BC67</f>
        <v/>
      </c>
      <c r="L64" s="128" t="str">
        <f ca="1">i_rank_i!BD67</f>
        <v/>
      </c>
      <c r="M64" s="129" t="str">
        <f ca="1">i_rank_i!BE67</f>
        <v/>
      </c>
      <c r="O64" s="88">
        <f ca="1">i_rank_i!BK67</f>
        <v>0</v>
      </c>
      <c r="P64" s="127" t="str">
        <f ca="1">i_rank_i!BL67</f>
        <v/>
      </c>
      <c r="Q64" s="128" t="str">
        <f ca="1">i_rank_i!BM67</f>
        <v/>
      </c>
      <c r="R64" s="129" t="str">
        <f ca="1">i_rank_i!BN67</f>
        <v/>
      </c>
      <c r="T64" s="88">
        <f ca="1">i_rank_i!BT67</f>
        <v>0</v>
      </c>
      <c r="U64" s="127" t="str">
        <f ca="1">i_rank_i!BU67</f>
        <v/>
      </c>
      <c r="V64" s="128" t="str">
        <f ca="1">i_rank_i!BV67</f>
        <v/>
      </c>
      <c r="W64" s="129" t="str">
        <f ca="1">i_rank_i!BW67</f>
        <v/>
      </c>
    </row>
    <row r="65" spans="1:23">
      <c r="A65" s="26"/>
      <c r="B65" s="26"/>
      <c r="C65" s="27"/>
      <c r="E65" s="88">
        <f ca="1">i_rank_i!AS68</f>
        <v>0</v>
      </c>
      <c r="F65" s="127" t="str">
        <f ca="1">i_rank_i!AT68</f>
        <v/>
      </c>
      <c r="G65" s="128" t="str">
        <f ca="1">i_rank_i!AU68</f>
        <v/>
      </c>
      <c r="H65" s="129" t="str">
        <f ca="1">i_rank_i!AV68</f>
        <v/>
      </c>
      <c r="J65" s="88">
        <f ca="1">i_rank_i!BB68</f>
        <v>0</v>
      </c>
      <c r="K65" s="127" t="str">
        <f ca="1">i_rank_i!BC68</f>
        <v/>
      </c>
      <c r="L65" s="128" t="str">
        <f ca="1">i_rank_i!BD68</f>
        <v/>
      </c>
      <c r="M65" s="129" t="str">
        <f ca="1">i_rank_i!BE68</f>
        <v/>
      </c>
      <c r="O65" s="88">
        <f ca="1">i_rank_i!BK68</f>
        <v>0</v>
      </c>
      <c r="P65" s="127" t="str">
        <f ca="1">i_rank_i!BL68</f>
        <v/>
      </c>
      <c r="Q65" s="128" t="str">
        <f ca="1">i_rank_i!BM68</f>
        <v/>
      </c>
      <c r="R65" s="129" t="str">
        <f ca="1">i_rank_i!BN68</f>
        <v/>
      </c>
      <c r="T65" s="88">
        <f ca="1">i_rank_i!BT68</f>
        <v>0</v>
      </c>
      <c r="U65" s="127" t="str">
        <f ca="1">i_rank_i!BU68</f>
        <v/>
      </c>
      <c r="V65" s="128" t="str">
        <f ca="1">i_rank_i!BV68</f>
        <v/>
      </c>
      <c r="W65" s="129" t="str">
        <f ca="1">i_rank_i!BW68</f>
        <v/>
      </c>
    </row>
    <row r="66" spans="1:23">
      <c r="A66" s="28"/>
      <c r="B66" s="28"/>
      <c r="C66" s="29"/>
      <c r="E66" s="88">
        <f ca="1">i_rank_i!AS69</f>
        <v>0</v>
      </c>
      <c r="F66" s="127" t="str">
        <f ca="1">i_rank_i!AT69</f>
        <v/>
      </c>
      <c r="G66" s="128" t="str">
        <f ca="1">i_rank_i!AU69</f>
        <v/>
      </c>
      <c r="H66" s="129" t="str">
        <f ca="1">i_rank_i!AV69</f>
        <v/>
      </c>
      <c r="J66" s="88">
        <f ca="1">i_rank_i!BB69</f>
        <v>0</v>
      </c>
      <c r="K66" s="127" t="str">
        <f ca="1">i_rank_i!BC69</f>
        <v/>
      </c>
      <c r="L66" s="128" t="str">
        <f ca="1">i_rank_i!BD69</f>
        <v/>
      </c>
      <c r="M66" s="129" t="str">
        <f ca="1">i_rank_i!BE69</f>
        <v/>
      </c>
      <c r="O66" s="88">
        <f ca="1">i_rank_i!BK69</f>
        <v>0</v>
      </c>
      <c r="P66" s="127" t="str">
        <f ca="1">i_rank_i!BL69</f>
        <v/>
      </c>
      <c r="Q66" s="128" t="str">
        <f ca="1">i_rank_i!BM69</f>
        <v/>
      </c>
      <c r="R66" s="129" t="str">
        <f ca="1">i_rank_i!BN69</f>
        <v/>
      </c>
      <c r="T66" s="88">
        <f ca="1">i_rank_i!BT69</f>
        <v>0</v>
      </c>
      <c r="U66" s="127" t="str">
        <f ca="1">i_rank_i!BU69</f>
        <v/>
      </c>
      <c r="V66" s="128" t="str">
        <f ca="1">i_rank_i!BV69</f>
        <v/>
      </c>
      <c r="W66" s="129" t="str">
        <f ca="1">i_rank_i!BW69</f>
        <v/>
      </c>
    </row>
  </sheetData>
  <sheetProtection password="B7E9" sheet="1" objects="1" scenarios="1" selectLockedCells="1" selectUnlockedCells="1"/>
  <phoneticPr fontId="10" type="noConversion"/>
  <conditionalFormatting sqref="F4:F66 K4:K66 P4:P66 U4:U66">
    <cfRule type="expression" dxfId="38" priority="1" stopIfTrue="1">
      <formula>E4=3</formula>
    </cfRule>
    <cfRule type="expression" dxfId="37" priority="2" stopIfTrue="1">
      <formula>E4=1</formula>
    </cfRule>
    <cfRule type="expression" dxfId="36" priority="3" stopIfTrue="1">
      <formula>E4=0</formula>
    </cfRule>
  </conditionalFormatting>
  <conditionalFormatting sqref="G4:G66 L4:L66 Q4:Q66 V4:V66">
    <cfRule type="expression" dxfId="35" priority="4" stopIfTrue="1">
      <formula>E4=3</formula>
    </cfRule>
    <cfRule type="expression" dxfId="34" priority="5" stopIfTrue="1">
      <formula>E4=1</formula>
    </cfRule>
    <cfRule type="expression" dxfId="33" priority="6" stopIfTrue="1">
      <formula>E4=0</formula>
    </cfRule>
  </conditionalFormatting>
  <conditionalFormatting sqref="H4:H66 M4:M66 R4:R66 W4:W66">
    <cfRule type="expression" dxfId="32" priority="7" stopIfTrue="1">
      <formula>E4=3</formula>
    </cfRule>
    <cfRule type="expression" dxfId="31" priority="8" stopIfTrue="1">
      <formula>E4=1</formula>
    </cfRule>
    <cfRule type="expression" dxfId="30" priority="9" stopIfTrue="1">
      <formula>E4=0</formula>
    </cfRule>
  </conditionalFormatting>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sheetPr codeName="Sheet2"/>
  <dimension ref="A1:M61"/>
  <sheetViews>
    <sheetView showGridLines="0" showRowColHeaders="0" workbookViewId="0">
      <selection activeCell="M5" sqref="M5"/>
    </sheetView>
  </sheetViews>
  <sheetFormatPr defaultRowHeight="12.75"/>
  <cols>
    <col min="1" max="1" width="1.42578125" customWidth="1"/>
    <col min="2" max="2" width="30.7109375" customWidth="1"/>
    <col min="3" max="3" width="1.140625" customWidth="1"/>
    <col min="4" max="4" width="3.140625" customWidth="1"/>
    <col min="5" max="5" width="18.140625" customWidth="1"/>
    <col min="6" max="6" width="3.140625" customWidth="1"/>
    <col min="7" max="7" width="19.140625" customWidth="1"/>
    <col min="8" max="8" width="3.28515625" customWidth="1"/>
    <col min="9" max="9" width="19.140625" customWidth="1"/>
    <col min="10" max="10" width="2.5703125" customWidth="1"/>
    <col min="11" max="11" width="19.140625" customWidth="1"/>
    <col min="12" max="12" width="2.5703125" customWidth="1"/>
    <col min="13" max="13" width="19.140625" customWidth="1"/>
  </cols>
  <sheetData>
    <row r="1" spans="1:13" ht="21">
      <c r="A1" s="123" t="s">
        <v>1028</v>
      </c>
      <c r="B1" s="120"/>
      <c r="C1" s="138"/>
      <c r="E1" s="22" t="str">
        <f ca="1">uxb_settings!M17</f>
        <v>Regulatory Framework  :: Regulation of microcredit operations</v>
      </c>
      <c r="F1" s="22"/>
    </row>
    <row r="2" spans="1:13" ht="38.25" customHeight="1">
      <c r="A2" s="26"/>
      <c r="B2" s="33" t="s">
        <v>1031</v>
      </c>
      <c r="C2" s="27"/>
      <c r="E2" s="220" t="str">
        <f ca="1">uxb_settings!K17</f>
        <v>Are regulations conducive to microcredit provision by banks and other established financial institutions?</v>
      </c>
      <c r="F2" s="220"/>
      <c r="G2" s="221"/>
      <c r="H2" s="221"/>
      <c r="I2" s="221"/>
      <c r="J2" s="221"/>
      <c r="K2" s="221"/>
      <c r="L2" s="221"/>
      <c r="M2" s="221"/>
    </row>
    <row r="3" spans="1:13" ht="30.75" customHeight="1">
      <c r="A3" s="26"/>
      <c r="B3" s="33" t="s">
        <v>1032</v>
      </c>
      <c r="C3" s="27"/>
      <c r="E3" s="218" t="str">
        <f ca="1">uxb_settings!L17</f>
        <v>For instance, are banks free to set market interest rates, can they avoid excessive documentation and capital-adequacy ratios, and are they free from unfair competition from subsidised public programmes and institutions?</v>
      </c>
      <c r="F3" s="218"/>
      <c r="G3" s="219"/>
      <c r="H3" s="219"/>
      <c r="I3" s="219"/>
      <c r="J3" s="219"/>
      <c r="K3" s="219"/>
      <c r="L3" s="219"/>
      <c r="M3" s="219"/>
    </row>
    <row r="4" spans="1:13">
      <c r="A4" s="26"/>
      <c r="B4" s="33" t="s">
        <v>1033</v>
      </c>
      <c r="C4" s="27"/>
    </row>
    <row r="5" spans="1:13" ht="55.5" customHeight="1">
      <c r="A5" s="26"/>
      <c r="B5" s="34" t="s">
        <v>1034</v>
      </c>
      <c r="C5" s="27"/>
      <c r="E5" s="139" t="str">
        <f ca="1">uxb_settings!O17</f>
        <v>No such regulations exist or regulations are prohibitive</v>
      </c>
      <c r="F5" s="32"/>
      <c r="G5" s="139" t="str">
        <f ca="1">uxb_settings!P17</f>
        <v>Regulations create serious obstacles</v>
      </c>
      <c r="H5" s="32"/>
      <c r="I5" s="139" t="str">
        <f ca="1">uxb_settings!Q17</f>
        <v>Regulations create at least two such obstacles for MFIs</v>
      </c>
      <c r="J5" s="32"/>
      <c r="K5" s="139" t="str">
        <f ca="1">uxb_settings!R17</f>
        <v>Regulations create minor obstacles</v>
      </c>
      <c r="L5" s="32"/>
      <c r="M5" s="139" t="str">
        <f ca="1">uxb_settings!S17</f>
        <v>Regulations present no significant obstacles</v>
      </c>
    </row>
    <row r="6" spans="1:13">
      <c r="A6" s="26"/>
      <c r="B6" s="26"/>
      <c r="C6" s="27"/>
      <c r="D6" s="101" t="str">
        <f ca="1">i_quali!AI18</f>
        <v/>
      </c>
      <c r="E6" s="140" t="str">
        <f ca="1">i_quali!AC18</f>
        <v/>
      </c>
      <c r="F6" s="101">
        <f ca="1">i_quali!AJ18</f>
        <v>2</v>
      </c>
      <c r="G6" s="140" t="str">
        <f ca="1">i_quali!AD18</f>
        <v>Argentina</v>
      </c>
      <c r="H6" s="101">
        <f ca="1">i_quali!AK18</f>
        <v>2</v>
      </c>
      <c r="I6" s="140" t="str">
        <f ca="1">i_quali!AE18</f>
        <v>Bangladesh</v>
      </c>
      <c r="J6" s="101">
        <f ca="1">i_quali!AL18</f>
        <v>2</v>
      </c>
      <c r="K6" s="140" t="str">
        <f ca="1">i_quali!AF18</f>
        <v>Armenia</v>
      </c>
      <c r="L6" s="101">
        <f ca="1">i_quali!AM18</f>
        <v>2</v>
      </c>
      <c r="M6" s="140" t="str">
        <f ca="1">i_quali!AG18</f>
        <v>Cambodia</v>
      </c>
    </row>
    <row r="7" spans="1:13">
      <c r="A7" s="26"/>
      <c r="B7" s="26"/>
      <c r="C7" s="27"/>
      <c r="D7" s="101" t="str">
        <f ca="1">i_quali!AI19</f>
        <v/>
      </c>
      <c r="E7" s="140" t="str">
        <f ca="1">i_quali!AC19</f>
        <v/>
      </c>
      <c r="F7" s="101">
        <f ca="1">i_quali!AJ19</f>
        <v>2</v>
      </c>
      <c r="G7" s="140" t="str">
        <f ca="1">i_quali!AD19</f>
        <v>Jamaica</v>
      </c>
      <c r="H7" s="101">
        <f ca="1">i_quali!AK19</f>
        <v>2</v>
      </c>
      <c r="I7" s="140" t="str">
        <f ca="1">i_quali!AE19</f>
        <v>Bosnia</v>
      </c>
      <c r="J7" s="101">
        <f ca="1">i_quali!AL19</f>
        <v>2</v>
      </c>
      <c r="K7" s="140" t="str">
        <f ca="1">i_quali!AF19</f>
        <v>Azerbaijan</v>
      </c>
      <c r="L7" s="101">
        <f ca="1">i_quali!AM19</f>
        <v>2</v>
      </c>
      <c r="M7" s="140" t="str">
        <f ca="1">i_quali!AG19</f>
        <v>Kenya</v>
      </c>
    </row>
    <row r="8" spans="1:13">
      <c r="A8" s="26"/>
      <c r="B8" s="26"/>
      <c r="C8" s="27"/>
      <c r="D8" s="101" t="str">
        <f ca="1">i_quali!AI20</f>
        <v/>
      </c>
      <c r="E8" s="140" t="str">
        <f ca="1">i_quali!AC20</f>
        <v/>
      </c>
      <c r="F8" s="101">
        <f ca="1">i_quali!AJ20</f>
        <v>2</v>
      </c>
      <c r="G8" s="140" t="str">
        <f ca="1">i_quali!AD20</f>
        <v>Thailand</v>
      </c>
      <c r="H8" s="101">
        <f ca="1">i_quali!AK20</f>
        <v>2</v>
      </c>
      <c r="I8" s="140" t="str">
        <f ca="1">i_quali!AE20</f>
        <v>Brazil</v>
      </c>
      <c r="J8" s="101">
        <f ca="1">i_quali!AL20</f>
        <v>2</v>
      </c>
      <c r="K8" s="140" t="str">
        <f ca="1">i_quali!AF20</f>
        <v>Bolivia</v>
      </c>
      <c r="L8" s="101">
        <f ca="1">i_quali!AM20</f>
        <v>2</v>
      </c>
      <c r="M8" s="140" t="str">
        <f ca="1">i_quali!AG20</f>
        <v>Philippines</v>
      </c>
    </row>
    <row r="9" spans="1:13">
      <c r="A9" s="26"/>
      <c r="B9" s="26"/>
      <c r="C9" s="27"/>
      <c r="D9" s="101" t="str">
        <f ca="1">i_quali!AI21</f>
        <v/>
      </c>
      <c r="E9" s="140" t="str">
        <f ca="1">i_quali!AC21</f>
        <v/>
      </c>
      <c r="F9" s="101">
        <f ca="1">i_quali!AJ21</f>
        <v>2</v>
      </c>
      <c r="G9" s="140" t="str">
        <f ca="1">i_quali!AD21</f>
        <v>Trinidad and Tobago</v>
      </c>
      <c r="H9" s="101">
        <f ca="1">i_quali!AK21</f>
        <v>2</v>
      </c>
      <c r="I9" s="140" t="str">
        <f ca="1">i_quali!AE21</f>
        <v>China</v>
      </c>
      <c r="J9" s="101">
        <f ca="1">i_quali!AL21</f>
        <v>2</v>
      </c>
      <c r="K9" s="140" t="str">
        <f ca="1">i_quali!AF21</f>
        <v>Cameroon</v>
      </c>
      <c r="L9" s="101">
        <f ca="1">i_quali!AM21</f>
        <v>2</v>
      </c>
      <c r="M9" s="140" t="str">
        <f ca="1">i_quali!AG21</f>
        <v>Uganda</v>
      </c>
    </row>
    <row r="10" spans="1:13">
      <c r="A10" s="26"/>
      <c r="B10" s="26"/>
      <c r="C10" s="27"/>
      <c r="D10" s="101" t="str">
        <f ca="1">i_quali!AI22</f>
        <v/>
      </c>
      <c r="E10" s="140" t="str">
        <f ca="1">i_quali!AC22</f>
        <v/>
      </c>
      <c r="F10" s="101">
        <f ca="1">i_quali!AJ22</f>
        <v>2</v>
      </c>
      <c r="G10" s="140" t="str">
        <f ca="1">i_quali!AD22</f>
        <v>Venezuela</v>
      </c>
      <c r="H10" s="101">
        <f ca="1">i_quali!AK22</f>
        <v>2</v>
      </c>
      <c r="I10" s="140" t="str">
        <f ca="1">i_quali!AE22</f>
        <v>Colombia</v>
      </c>
      <c r="J10" s="101">
        <f ca="1">i_quali!AL22</f>
        <v>2</v>
      </c>
      <c r="K10" s="140" t="str">
        <f ca="1">i_quali!AF22</f>
        <v>Chile</v>
      </c>
      <c r="L10" s="101" t="str">
        <f ca="1">i_quali!AM22</f>
        <v/>
      </c>
      <c r="M10" s="140" t="str">
        <f ca="1">i_quali!AG22</f>
        <v/>
      </c>
    </row>
    <row r="11" spans="1:13">
      <c r="A11" s="26"/>
      <c r="B11" s="26"/>
      <c r="C11" s="27"/>
      <c r="D11" s="101" t="str">
        <f ca="1">i_quali!AI23</f>
        <v/>
      </c>
      <c r="E11" s="140" t="str">
        <f ca="1">i_quali!AC23</f>
        <v/>
      </c>
      <c r="F11" s="101">
        <f ca="1">i_quali!AJ23</f>
        <v>2</v>
      </c>
      <c r="G11" s="140" t="str">
        <f ca="1">i_quali!AD23</f>
        <v>Vietnam</v>
      </c>
      <c r="H11" s="101">
        <f ca="1">i_quali!AK23</f>
        <v>2</v>
      </c>
      <c r="I11" s="140" t="str">
        <f ca="1">i_quali!AE23</f>
        <v>Costa Rica</v>
      </c>
      <c r="J11" s="101">
        <f ca="1">i_quali!AL23</f>
        <v>2</v>
      </c>
      <c r="K11" s="140" t="str">
        <f ca="1">i_quali!AF23</f>
        <v>Georgia</v>
      </c>
      <c r="L11" s="101" t="str">
        <f ca="1">i_quali!AM23</f>
        <v/>
      </c>
      <c r="M11" s="140" t="str">
        <f ca="1">i_quali!AG23</f>
        <v/>
      </c>
    </row>
    <row r="12" spans="1:13">
      <c r="A12" s="26"/>
      <c r="B12" s="26"/>
      <c r="C12" s="27"/>
      <c r="D12" s="101" t="str">
        <f ca="1">i_quali!AI24</f>
        <v/>
      </c>
      <c r="E12" s="140" t="str">
        <f ca="1">i_quali!AC24</f>
        <v/>
      </c>
      <c r="F12" s="101" t="str">
        <f ca="1">i_quali!AJ24</f>
        <v/>
      </c>
      <c r="G12" s="140" t="str">
        <f ca="1">i_quali!AD24</f>
        <v/>
      </c>
      <c r="H12" s="101">
        <f ca="1">i_quali!AK24</f>
        <v>2</v>
      </c>
      <c r="I12" s="140" t="str">
        <f ca="1">i_quali!AE24</f>
        <v>Dominican Republic</v>
      </c>
      <c r="J12" s="101">
        <f ca="1">i_quali!AL24</f>
        <v>2</v>
      </c>
      <c r="K12" s="140" t="str">
        <f ca="1">i_quali!AF24</f>
        <v>Ghana</v>
      </c>
      <c r="L12" s="101" t="str">
        <f ca="1">i_quali!AM24</f>
        <v/>
      </c>
      <c r="M12" s="140" t="str">
        <f ca="1">i_quali!AG24</f>
        <v/>
      </c>
    </row>
    <row r="13" spans="1:13">
      <c r="A13" s="26"/>
      <c r="B13" s="26"/>
      <c r="C13" s="27"/>
      <c r="D13" s="101" t="str">
        <f ca="1">i_quali!AI25</f>
        <v/>
      </c>
      <c r="E13" s="140" t="str">
        <f ca="1">i_quali!AC25</f>
        <v/>
      </c>
      <c r="F13" s="101" t="str">
        <f ca="1">i_quali!AJ25</f>
        <v/>
      </c>
      <c r="G13" s="140" t="str">
        <f ca="1">i_quali!AD25</f>
        <v/>
      </c>
      <c r="H13" s="101">
        <f ca="1">i_quali!AK25</f>
        <v>2</v>
      </c>
      <c r="I13" s="140" t="str">
        <f ca="1">i_quali!AE25</f>
        <v>DRC</v>
      </c>
      <c r="J13" s="101">
        <f ca="1">i_quali!AL25</f>
        <v>2</v>
      </c>
      <c r="K13" s="140" t="str">
        <f ca="1">i_quali!AF25</f>
        <v>Guatemala</v>
      </c>
      <c r="L13" s="101" t="str">
        <f ca="1">i_quali!AM25</f>
        <v/>
      </c>
      <c r="M13" s="140" t="str">
        <f ca="1">i_quali!AG25</f>
        <v/>
      </c>
    </row>
    <row r="14" spans="1:13">
      <c r="A14" s="26"/>
      <c r="B14" s="26"/>
      <c r="C14" s="27"/>
      <c r="D14" s="101" t="str">
        <f ca="1">i_quali!AI26</f>
        <v/>
      </c>
      <c r="E14" s="140" t="str">
        <f ca="1">i_quali!AC26</f>
        <v/>
      </c>
      <c r="F14" s="101" t="str">
        <f ca="1">i_quali!AJ26</f>
        <v/>
      </c>
      <c r="G14" s="140" t="str">
        <f ca="1">i_quali!AD26</f>
        <v/>
      </c>
      <c r="H14" s="101">
        <f ca="1">i_quali!AK26</f>
        <v>2</v>
      </c>
      <c r="I14" s="140" t="str">
        <f ca="1">i_quali!AE26</f>
        <v>Ecuador</v>
      </c>
      <c r="J14" s="101">
        <f ca="1">i_quali!AL26</f>
        <v>2</v>
      </c>
      <c r="K14" s="140" t="str">
        <f ca="1">i_quali!AF26</f>
        <v>India</v>
      </c>
      <c r="L14" s="101" t="str">
        <f ca="1">i_quali!AM26</f>
        <v/>
      </c>
      <c r="M14" s="140" t="str">
        <f ca="1">i_quali!AG26</f>
        <v/>
      </c>
    </row>
    <row r="15" spans="1:13">
      <c r="A15" s="26"/>
      <c r="B15" s="26"/>
      <c r="C15" s="27"/>
      <c r="D15" s="101" t="str">
        <f ca="1">i_quali!AI27</f>
        <v/>
      </c>
      <c r="E15" s="140" t="str">
        <f ca="1">i_quali!AC27</f>
        <v/>
      </c>
      <c r="F15" s="101" t="str">
        <f ca="1">i_quali!AJ27</f>
        <v/>
      </c>
      <c r="G15" s="140" t="str">
        <f ca="1">i_quali!AD27</f>
        <v/>
      </c>
      <c r="H15" s="101">
        <f ca="1">i_quali!AK27</f>
        <v>2</v>
      </c>
      <c r="I15" s="140" t="str">
        <f ca="1">i_quali!AE27</f>
        <v>El Salvador</v>
      </c>
      <c r="J15" s="101">
        <f ca="1">i_quali!AL27</f>
        <v>2</v>
      </c>
      <c r="K15" s="140" t="str">
        <f ca="1">i_quali!AF27</f>
        <v>Kyrgyzstan</v>
      </c>
      <c r="L15" s="101" t="str">
        <f ca="1">i_quali!AM27</f>
        <v/>
      </c>
      <c r="M15" s="140" t="str">
        <f ca="1">i_quali!AG27</f>
        <v/>
      </c>
    </row>
    <row r="16" spans="1:13">
      <c r="A16" s="26"/>
      <c r="B16" s="26"/>
      <c r="C16" s="27"/>
      <c r="D16" s="101" t="str">
        <f ca="1">i_quali!AI28</f>
        <v/>
      </c>
      <c r="E16" s="140" t="str">
        <f ca="1">i_quali!AC28</f>
        <v/>
      </c>
      <c r="F16" s="101" t="str">
        <f ca="1">i_quali!AJ28</f>
        <v/>
      </c>
      <c r="G16" s="140" t="str">
        <f ca="1">i_quali!AD28</f>
        <v/>
      </c>
      <c r="H16" s="101">
        <f ca="1">i_quali!AK28</f>
        <v>2</v>
      </c>
      <c r="I16" s="140" t="str">
        <f ca="1">i_quali!AE28</f>
        <v>Ethiopia</v>
      </c>
      <c r="J16" s="101">
        <f ca="1">i_quali!AL28</f>
        <v>2</v>
      </c>
      <c r="K16" s="140" t="str">
        <f ca="1">i_quali!AF28</f>
        <v>Mongolia</v>
      </c>
      <c r="L16" s="101" t="str">
        <f ca="1">i_quali!AM28</f>
        <v/>
      </c>
      <c r="M16" s="140" t="str">
        <f ca="1">i_quali!AG28</f>
        <v/>
      </c>
    </row>
    <row r="17" spans="1:13">
      <c r="A17" s="26"/>
      <c r="B17" s="26"/>
      <c r="C17" s="27"/>
      <c r="D17" s="101" t="str">
        <f ca="1">i_quali!AI29</f>
        <v/>
      </c>
      <c r="E17" s="140" t="str">
        <f ca="1">i_quali!AC29</f>
        <v/>
      </c>
      <c r="F17" s="101" t="str">
        <f ca="1">i_quali!AJ29</f>
        <v/>
      </c>
      <c r="G17" s="140" t="str">
        <f ca="1">i_quali!AD29</f>
        <v/>
      </c>
      <c r="H17" s="101">
        <f ca="1">i_quali!AK29</f>
        <v>2</v>
      </c>
      <c r="I17" s="140" t="str">
        <f ca="1">i_quali!AE29</f>
        <v>Haiti</v>
      </c>
      <c r="J17" s="101">
        <f ca="1">i_quali!AL29</f>
        <v>2</v>
      </c>
      <c r="K17" s="140" t="str">
        <f ca="1">i_quali!AF29</f>
        <v>Pakistan</v>
      </c>
      <c r="L17" s="101" t="str">
        <f ca="1">i_quali!AM29</f>
        <v/>
      </c>
      <c r="M17" s="140" t="str">
        <f ca="1">i_quali!AG29</f>
        <v/>
      </c>
    </row>
    <row r="18" spans="1:13">
      <c r="A18" s="26"/>
      <c r="B18" s="26"/>
      <c r="C18" s="27"/>
      <c r="D18" s="101" t="str">
        <f ca="1">i_quali!AI30</f>
        <v/>
      </c>
      <c r="E18" s="140" t="str">
        <f ca="1">i_quali!AC30</f>
        <v/>
      </c>
      <c r="F18" s="101" t="str">
        <f ca="1">i_quali!AJ30</f>
        <v/>
      </c>
      <c r="G18" s="140" t="str">
        <f ca="1">i_quali!AD30</f>
        <v/>
      </c>
      <c r="H18" s="101">
        <f ca="1">i_quali!AK30</f>
        <v>2</v>
      </c>
      <c r="I18" s="140" t="str">
        <f ca="1">i_quali!AE30</f>
        <v>Honduras</v>
      </c>
      <c r="J18" s="101">
        <f ca="1">i_quali!AL30</f>
        <v>2</v>
      </c>
      <c r="K18" s="140" t="str">
        <f ca="1">i_quali!AF30</f>
        <v>Panama</v>
      </c>
      <c r="L18" s="101" t="str">
        <f ca="1">i_quali!AM30</f>
        <v/>
      </c>
      <c r="M18" s="140" t="str">
        <f ca="1">i_quali!AG30</f>
        <v/>
      </c>
    </row>
    <row r="19" spans="1:13">
      <c r="A19" s="26"/>
      <c r="B19" s="26"/>
      <c r="C19" s="27"/>
      <c r="D19" s="101" t="str">
        <f ca="1">i_quali!AI31</f>
        <v/>
      </c>
      <c r="E19" s="140" t="str">
        <f ca="1">i_quali!AC31</f>
        <v/>
      </c>
      <c r="F19" s="101" t="str">
        <f ca="1">i_quali!AJ31</f>
        <v/>
      </c>
      <c r="G19" s="140" t="str">
        <f ca="1">i_quali!AD31</f>
        <v/>
      </c>
      <c r="H19" s="101">
        <f ca="1">i_quali!AK31</f>
        <v>2</v>
      </c>
      <c r="I19" s="140" t="str">
        <f ca="1">i_quali!AE31</f>
        <v>Indonesia</v>
      </c>
      <c r="J19" s="101">
        <f ca="1">i_quali!AL31</f>
        <v>2</v>
      </c>
      <c r="K19" s="140" t="str">
        <f ca="1">i_quali!AF31</f>
        <v>Paraguay</v>
      </c>
      <c r="L19" s="101" t="str">
        <f ca="1">i_quali!AM31</f>
        <v/>
      </c>
      <c r="M19" s="140" t="str">
        <f ca="1">i_quali!AG31</f>
        <v/>
      </c>
    </row>
    <row r="20" spans="1:13">
      <c r="A20" s="26"/>
      <c r="B20" s="26"/>
      <c r="C20" s="27"/>
      <c r="D20" s="101" t="str">
        <f ca="1">i_quali!AI32</f>
        <v/>
      </c>
      <c r="E20" s="140" t="str">
        <f ca="1">i_quali!AC32</f>
        <v/>
      </c>
      <c r="F20" s="101" t="str">
        <f ca="1">i_quali!AJ32</f>
        <v/>
      </c>
      <c r="G20" s="140" t="str">
        <f ca="1">i_quali!AD32</f>
        <v/>
      </c>
      <c r="H20" s="101">
        <f ca="1">i_quali!AK32</f>
        <v>2</v>
      </c>
      <c r="I20" s="140" t="str">
        <f ca="1">i_quali!AE32</f>
        <v>Lebanon</v>
      </c>
      <c r="J20" s="101">
        <f ca="1">i_quali!AL32</f>
        <v>2</v>
      </c>
      <c r="K20" s="140" t="str">
        <f ca="1">i_quali!AF32</f>
        <v>Peru</v>
      </c>
      <c r="L20" s="101" t="str">
        <f ca="1">i_quali!AM32</f>
        <v/>
      </c>
      <c r="M20" s="140" t="str">
        <f ca="1">i_quali!AG32</f>
        <v/>
      </c>
    </row>
    <row r="21" spans="1:13">
      <c r="A21" s="26"/>
      <c r="B21" s="26"/>
      <c r="C21" s="27"/>
      <c r="D21" s="101" t="str">
        <f ca="1">i_quali!AI33</f>
        <v/>
      </c>
      <c r="E21" s="140" t="str">
        <f ca="1">i_quali!AC33</f>
        <v/>
      </c>
      <c r="F21" s="101" t="str">
        <f ca="1">i_quali!AJ33</f>
        <v/>
      </c>
      <c r="G21" s="140" t="str">
        <f ca="1">i_quali!AD33</f>
        <v/>
      </c>
      <c r="H21" s="101">
        <f ca="1">i_quali!AK33</f>
        <v>2</v>
      </c>
      <c r="I21" s="140" t="str">
        <f ca="1">i_quali!AE33</f>
        <v>Madagascar</v>
      </c>
      <c r="J21" s="101">
        <f ca="1">i_quali!AL33</f>
        <v>2</v>
      </c>
      <c r="K21" s="140" t="str">
        <f ca="1">i_quali!AF33</f>
        <v>Rwanda</v>
      </c>
      <c r="L21" s="101" t="str">
        <f ca="1">i_quali!AM33</f>
        <v/>
      </c>
      <c r="M21" s="140" t="str">
        <f ca="1">i_quali!AG33</f>
        <v/>
      </c>
    </row>
    <row r="22" spans="1:13">
      <c r="A22" s="26"/>
      <c r="B22" s="26"/>
      <c r="C22" s="27"/>
      <c r="D22" s="101" t="str">
        <f ca="1">i_quali!AI34</f>
        <v/>
      </c>
      <c r="E22" s="140" t="str">
        <f ca="1">i_quali!AC34</f>
        <v/>
      </c>
      <c r="F22" s="101" t="str">
        <f ca="1">i_quali!AJ34</f>
        <v/>
      </c>
      <c r="G22" s="140" t="str">
        <f ca="1">i_quali!AD34</f>
        <v/>
      </c>
      <c r="H22" s="101">
        <f ca="1">i_quali!AK34</f>
        <v>2</v>
      </c>
      <c r="I22" s="140" t="str">
        <f ca="1">i_quali!AE34</f>
        <v>Mexico</v>
      </c>
      <c r="J22" s="101">
        <f ca="1">i_quali!AL34</f>
        <v>2</v>
      </c>
      <c r="K22" s="140" t="str">
        <f ca="1">i_quali!AF34</f>
        <v>Tajikistan</v>
      </c>
      <c r="L22" s="101" t="str">
        <f ca="1">i_quali!AM34</f>
        <v/>
      </c>
      <c r="M22" s="140" t="str">
        <f ca="1">i_quali!AG34</f>
        <v/>
      </c>
    </row>
    <row r="23" spans="1:13">
      <c r="A23" s="26"/>
      <c r="B23" s="26"/>
      <c r="C23" s="27"/>
      <c r="D23" s="101" t="str">
        <f ca="1">i_quali!AI35</f>
        <v/>
      </c>
      <c r="E23" s="140" t="str">
        <f ca="1">i_quali!AC35</f>
        <v/>
      </c>
      <c r="F23" s="101" t="str">
        <f ca="1">i_quali!AJ35</f>
        <v/>
      </c>
      <c r="G23" s="140" t="str">
        <f ca="1">i_quali!AD35</f>
        <v/>
      </c>
      <c r="H23" s="101">
        <f ca="1">i_quali!AK35</f>
        <v>2</v>
      </c>
      <c r="I23" s="140" t="str">
        <f ca="1">i_quali!AE35</f>
        <v>Morocco</v>
      </c>
      <c r="J23" s="101">
        <f ca="1">i_quali!AL35</f>
        <v>2</v>
      </c>
      <c r="K23" s="140" t="str">
        <f ca="1">i_quali!AF35</f>
        <v>Tanzania</v>
      </c>
      <c r="L23" s="101" t="str">
        <f ca="1">i_quali!AM35</f>
        <v/>
      </c>
      <c r="M23" s="140" t="str">
        <f ca="1">i_quali!AG35</f>
        <v/>
      </c>
    </row>
    <row r="24" spans="1:13">
      <c r="A24" s="26"/>
      <c r="B24" s="26"/>
      <c r="C24" s="27"/>
      <c r="D24" s="101" t="str">
        <f ca="1">i_quali!AI36</f>
        <v/>
      </c>
      <c r="E24" s="140" t="str">
        <f ca="1">i_quali!AC36</f>
        <v/>
      </c>
      <c r="F24" s="101" t="str">
        <f ca="1">i_quali!AJ36</f>
        <v/>
      </c>
      <c r="G24" s="140" t="str">
        <f ca="1">i_quali!AD36</f>
        <v/>
      </c>
      <c r="H24" s="101">
        <f ca="1">i_quali!AK36</f>
        <v>2</v>
      </c>
      <c r="I24" s="140" t="str">
        <f ca="1">i_quali!AE36</f>
        <v>Mozambique</v>
      </c>
      <c r="J24" s="101">
        <f ca="1">i_quali!AL36</f>
        <v>2</v>
      </c>
      <c r="K24" s="140" t="str">
        <f ca="1">i_quali!AF36</f>
        <v>Yemen</v>
      </c>
      <c r="L24" s="101" t="str">
        <f ca="1">i_quali!AM36</f>
        <v/>
      </c>
      <c r="M24" s="140" t="str">
        <f ca="1">i_quali!AG36</f>
        <v/>
      </c>
    </row>
    <row r="25" spans="1:13">
      <c r="A25" s="26"/>
      <c r="B25" s="26"/>
      <c r="C25" s="27"/>
      <c r="D25" s="101" t="str">
        <f ca="1">i_quali!AI37</f>
        <v/>
      </c>
      <c r="E25" s="140" t="str">
        <f ca="1">i_quali!AC37</f>
        <v/>
      </c>
      <c r="F25" s="101" t="str">
        <f ca="1">i_quali!AJ37</f>
        <v/>
      </c>
      <c r="G25" s="140" t="str">
        <f ca="1">i_quali!AD37</f>
        <v/>
      </c>
      <c r="H25" s="101">
        <f ca="1">i_quali!AK37</f>
        <v>2</v>
      </c>
      <c r="I25" s="140" t="str">
        <f ca="1">i_quali!AE37</f>
        <v>Nepal</v>
      </c>
      <c r="J25" s="101" t="str">
        <f ca="1">i_quali!AL37</f>
        <v/>
      </c>
      <c r="K25" s="140" t="str">
        <f ca="1">i_quali!AF37</f>
        <v/>
      </c>
      <c r="L25" s="101" t="str">
        <f ca="1">i_quali!AM37</f>
        <v/>
      </c>
      <c r="M25" s="140" t="str">
        <f ca="1">i_quali!AG37</f>
        <v/>
      </c>
    </row>
    <row r="26" spans="1:13">
      <c r="A26" s="26"/>
      <c r="B26" s="26"/>
      <c r="C26" s="27"/>
      <c r="D26" s="101" t="str">
        <f ca="1">i_quali!AI38</f>
        <v/>
      </c>
      <c r="E26" s="140" t="str">
        <f ca="1">i_quali!AC38</f>
        <v/>
      </c>
      <c r="F26" s="101" t="str">
        <f ca="1">i_quali!AJ38</f>
        <v/>
      </c>
      <c r="G26" s="140" t="str">
        <f ca="1">i_quali!AD38</f>
        <v/>
      </c>
      <c r="H26" s="101">
        <f ca="1">i_quali!AK38</f>
        <v>2</v>
      </c>
      <c r="I26" s="140" t="str">
        <f ca="1">i_quali!AE38</f>
        <v>Nicaragua</v>
      </c>
      <c r="J26" s="101" t="str">
        <f ca="1">i_quali!AL38</f>
        <v/>
      </c>
      <c r="K26" s="140" t="str">
        <f ca="1">i_quali!AF38</f>
        <v/>
      </c>
      <c r="L26" s="101" t="str">
        <f ca="1">i_quali!AM38</f>
        <v/>
      </c>
      <c r="M26" s="140" t="str">
        <f ca="1">i_quali!AG38</f>
        <v/>
      </c>
    </row>
    <row r="27" spans="1:13">
      <c r="A27" s="26"/>
      <c r="B27" s="26"/>
      <c r="C27" s="27"/>
      <c r="D27" s="101" t="str">
        <f ca="1">i_quali!AI39</f>
        <v/>
      </c>
      <c r="E27" s="140" t="str">
        <f ca="1">i_quali!AC39</f>
        <v/>
      </c>
      <c r="F27" s="101" t="str">
        <f ca="1">i_quali!AJ39</f>
        <v/>
      </c>
      <c r="G27" s="140" t="str">
        <f ca="1">i_quali!AD39</f>
        <v/>
      </c>
      <c r="H27" s="101">
        <f ca="1">i_quali!AK39</f>
        <v>2</v>
      </c>
      <c r="I27" s="140" t="str">
        <f ca="1">i_quali!AE39</f>
        <v>Nigeria</v>
      </c>
      <c r="J27" s="101" t="str">
        <f ca="1">i_quali!AL39</f>
        <v/>
      </c>
      <c r="K27" s="140" t="str">
        <f ca="1">i_quali!AF39</f>
        <v/>
      </c>
      <c r="L27" s="101" t="str">
        <f ca="1">i_quali!AM39</f>
        <v/>
      </c>
      <c r="M27" s="140" t="str">
        <f ca="1">i_quali!AG39</f>
        <v/>
      </c>
    </row>
    <row r="28" spans="1:13">
      <c r="A28" s="26"/>
      <c r="B28" s="26"/>
      <c r="C28" s="27"/>
      <c r="D28" s="101" t="str">
        <f ca="1">i_quali!AI40</f>
        <v/>
      </c>
      <c r="E28" s="140" t="str">
        <f ca="1">i_quali!AC40</f>
        <v/>
      </c>
      <c r="F28" s="101" t="str">
        <f ca="1">i_quali!AJ40</f>
        <v/>
      </c>
      <c r="G28" s="140" t="str">
        <f ca="1">i_quali!AD40</f>
        <v/>
      </c>
      <c r="H28" s="101">
        <f ca="1">i_quali!AK40</f>
        <v>2</v>
      </c>
      <c r="I28" s="140" t="str">
        <f ca="1">i_quali!AE40</f>
        <v>Senegal</v>
      </c>
      <c r="J28" s="101" t="str">
        <f ca="1">i_quali!AL40</f>
        <v/>
      </c>
      <c r="K28" s="140" t="str">
        <f ca="1">i_quali!AF40</f>
        <v/>
      </c>
      <c r="L28" s="101" t="str">
        <f ca="1">i_quali!AM40</f>
        <v/>
      </c>
      <c r="M28" s="140" t="str">
        <f ca="1">i_quali!AG40</f>
        <v/>
      </c>
    </row>
    <row r="29" spans="1:13">
      <c r="A29" s="26"/>
      <c r="B29" s="26"/>
      <c r="C29" s="27"/>
      <c r="D29" s="101" t="str">
        <f ca="1">i_quali!AI41</f>
        <v/>
      </c>
      <c r="E29" s="140" t="str">
        <f ca="1">i_quali!AC41</f>
        <v/>
      </c>
      <c r="F29" s="101" t="str">
        <f ca="1">i_quali!AJ41</f>
        <v/>
      </c>
      <c r="G29" s="140" t="str">
        <f ca="1">i_quali!AD41</f>
        <v/>
      </c>
      <c r="H29" s="101">
        <f ca="1">i_quali!AK41</f>
        <v>2</v>
      </c>
      <c r="I29" s="140" t="str">
        <f ca="1">i_quali!AE41</f>
        <v>Sri Lanka</v>
      </c>
      <c r="J29" s="101" t="str">
        <f ca="1">i_quali!AL41</f>
        <v/>
      </c>
      <c r="K29" s="140" t="str">
        <f ca="1">i_quali!AF41</f>
        <v/>
      </c>
      <c r="L29" s="101" t="str">
        <f ca="1">i_quali!AM41</f>
        <v/>
      </c>
      <c r="M29" s="140" t="str">
        <f ca="1">i_quali!AG41</f>
        <v/>
      </c>
    </row>
    <row r="30" spans="1:13">
      <c r="A30" s="26"/>
      <c r="B30" s="26"/>
      <c r="C30" s="27"/>
      <c r="D30" s="101" t="str">
        <f ca="1">i_quali!AI42</f>
        <v/>
      </c>
      <c r="E30" s="140" t="str">
        <f ca="1">i_quali!AC42</f>
        <v/>
      </c>
      <c r="F30" s="101" t="str">
        <f ca="1">i_quali!AJ42</f>
        <v/>
      </c>
      <c r="G30" s="140" t="str">
        <f ca="1">i_quali!AD42</f>
        <v/>
      </c>
      <c r="H30" s="101">
        <f ca="1">i_quali!AK42</f>
        <v>2</v>
      </c>
      <c r="I30" s="140" t="str">
        <f ca="1">i_quali!AE42</f>
        <v>Turkey</v>
      </c>
      <c r="J30" s="101" t="str">
        <f ca="1">i_quali!AL42</f>
        <v/>
      </c>
      <c r="K30" s="140" t="str">
        <f ca="1">i_quali!AF42</f>
        <v/>
      </c>
      <c r="L30" s="101" t="str">
        <f ca="1">i_quali!AM42</f>
        <v/>
      </c>
      <c r="M30" s="140" t="str">
        <f ca="1">i_quali!AG42</f>
        <v/>
      </c>
    </row>
    <row r="31" spans="1:13">
      <c r="A31" s="26"/>
      <c r="B31" s="26"/>
      <c r="C31" s="27"/>
      <c r="D31" s="101" t="str">
        <f ca="1">i_quali!AI43</f>
        <v/>
      </c>
      <c r="E31" s="140" t="str">
        <f ca="1">i_quali!AC43</f>
        <v/>
      </c>
      <c r="F31" s="101" t="str">
        <f ca="1">i_quali!AJ43</f>
        <v/>
      </c>
      <c r="G31" s="140" t="str">
        <f ca="1">i_quali!AD43</f>
        <v/>
      </c>
      <c r="H31" s="101">
        <f ca="1">i_quali!AK43</f>
        <v>2</v>
      </c>
      <c r="I31" s="140" t="str">
        <f ca="1">i_quali!AE43</f>
        <v>Uruguay</v>
      </c>
      <c r="J31" s="101" t="str">
        <f ca="1">i_quali!AL43</f>
        <v/>
      </c>
      <c r="K31" s="140" t="str">
        <f ca="1">i_quali!AF43</f>
        <v/>
      </c>
      <c r="L31" s="101" t="str">
        <f ca="1">i_quali!AM43</f>
        <v/>
      </c>
      <c r="M31" s="140" t="str">
        <f ca="1">i_quali!AG43</f>
        <v/>
      </c>
    </row>
    <row r="32" spans="1:13">
      <c r="A32" s="26"/>
      <c r="B32" s="26"/>
      <c r="C32" s="27"/>
      <c r="D32" s="101" t="str">
        <f ca="1">i_quali!AI44</f>
        <v/>
      </c>
      <c r="E32" s="140" t="str">
        <f ca="1">i_quali!AC44</f>
        <v/>
      </c>
      <c r="F32" s="101" t="str">
        <f ca="1">i_quali!AJ44</f>
        <v/>
      </c>
      <c r="G32" s="140" t="str">
        <f ca="1">i_quali!AD44</f>
        <v/>
      </c>
      <c r="H32" s="101" t="str">
        <f ca="1">i_quali!AK44</f>
        <v/>
      </c>
      <c r="I32" s="140" t="str">
        <f ca="1">i_quali!AE44</f>
        <v/>
      </c>
      <c r="J32" s="101" t="str">
        <f ca="1">i_quali!AL44</f>
        <v/>
      </c>
      <c r="K32" s="140" t="str">
        <f ca="1">i_quali!AF44</f>
        <v/>
      </c>
      <c r="L32" s="101" t="str">
        <f ca="1">i_quali!AM44</f>
        <v/>
      </c>
      <c r="M32" s="140" t="str">
        <f ca="1">i_quali!AG44</f>
        <v/>
      </c>
    </row>
    <row r="33" spans="1:13">
      <c r="A33" s="26"/>
      <c r="B33" s="26"/>
      <c r="C33" s="27"/>
      <c r="D33" s="101" t="str">
        <f ca="1">i_quali!AI45</f>
        <v/>
      </c>
      <c r="E33" s="140" t="str">
        <f ca="1">i_quali!AC45</f>
        <v/>
      </c>
      <c r="F33" s="101" t="str">
        <f ca="1">i_quali!AJ45</f>
        <v/>
      </c>
      <c r="G33" s="140" t="str">
        <f ca="1">i_quali!AD45</f>
        <v/>
      </c>
      <c r="H33" s="101" t="str">
        <f ca="1">i_quali!AK45</f>
        <v/>
      </c>
      <c r="I33" s="140" t="str">
        <f ca="1">i_quali!AE45</f>
        <v/>
      </c>
      <c r="J33" s="101" t="str">
        <f ca="1">i_quali!AL45</f>
        <v/>
      </c>
      <c r="K33" s="140" t="str">
        <f ca="1">i_quali!AF45</f>
        <v/>
      </c>
      <c r="L33" s="101" t="str">
        <f ca="1">i_quali!AM45</f>
        <v/>
      </c>
      <c r="M33" s="140" t="str">
        <f ca="1">i_quali!AG45</f>
        <v/>
      </c>
    </row>
    <row r="34" spans="1:13">
      <c r="A34" s="26"/>
      <c r="B34" s="26"/>
      <c r="C34" s="27"/>
      <c r="D34" s="101" t="str">
        <f ca="1">i_quali!AI46</f>
        <v/>
      </c>
      <c r="E34" s="140" t="str">
        <f ca="1">i_quali!AC46</f>
        <v/>
      </c>
      <c r="F34" s="101" t="str">
        <f ca="1">i_quali!AJ46</f>
        <v/>
      </c>
      <c r="G34" s="140" t="str">
        <f ca="1">i_quali!AD46</f>
        <v/>
      </c>
      <c r="H34" s="101" t="str">
        <f ca="1">i_quali!AK46</f>
        <v/>
      </c>
      <c r="I34" s="140" t="str">
        <f ca="1">i_quali!AE46</f>
        <v/>
      </c>
      <c r="J34" s="101" t="str">
        <f ca="1">i_quali!AL46</f>
        <v/>
      </c>
      <c r="K34" s="140" t="str">
        <f ca="1">i_quali!AF46</f>
        <v/>
      </c>
      <c r="L34" s="101" t="str">
        <f ca="1">i_quali!AM46</f>
        <v/>
      </c>
      <c r="M34" s="140" t="str">
        <f ca="1">i_quali!AG46</f>
        <v/>
      </c>
    </row>
    <row r="35" spans="1:13">
      <c r="A35" s="26"/>
      <c r="B35" s="26"/>
      <c r="C35" s="27"/>
      <c r="D35" s="101" t="str">
        <f ca="1">i_quali!AI47</f>
        <v/>
      </c>
      <c r="E35" s="140" t="str">
        <f ca="1">i_quali!AC47</f>
        <v/>
      </c>
      <c r="F35" s="101" t="str">
        <f ca="1">i_quali!AJ47</f>
        <v/>
      </c>
      <c r="G35" s="140" t="str">
        <f ca="1">i_quali!AD47</f>
        <v/>
      </c>
      <c r="H35" s="101" t="str">
        <f ca="1">i_quali!AK47</f>
        <v/>
      </c>
      <c r="I35" s="140" t="str">
        <f ca="1">i_quali!AE47</f>
        <v/>
      </c>
      <c r="J35" s="101" t="str">
        <f ca="1">i_quali!AL47</f>
        <v/>
      </c>
      <c r="K35" s="140" t="str">
        <f ca="1">i_quali!AF47</f>
        <v/>
      </c>
      <c r="L35" s="101" t="str">
        <f ca="1">i_quali!AM47</f>
        <v/>
      </c>
      <c r="M35" s="140" t="str">
        <f ca="1">i_quali!AG47</f>
        <v/>
      </c>
    </row>
    <row r="36" spans="1:13">
      <c r="A36" s="26"/>
      <c r="B36" s="26"/>
      <c r="C36" s="27"/>
      <c r="D36" s="101" t="str">
        <f ca="1">i_quali!AI48</f>
        <v/>
      </c>
      <c r="E36" s="140" t="str">
        <f ca="1">i_quali!AC48</f>
        <v/>
      </c>
      <c r="F36" s="101" t="str">
        <f ca="1">i_quali!AJ48</f>
        <v/>
      </c>
      <c r="G36" s="140" t="str">
        <f ca="1">i_quali!AD48</f>
        <v/>
      </c>
      <c r="H36" s="101" t="str">
        <f ca="1">i_quali!AK48</f>
        <v/>
      </c>
      <c r="I36" s="140" t="str">
        <f ca="1">i_quali!AE48</f>
        <v/>
      </c>
      <c r="J36" s="101" t="str">
        <f ca="1">i_quali!AL48</f>
        <v/>
      </c>
      <c r="K36" s="140" t="str">
        <f ca="1">i_quali!AF48</f>
        <v/>
      </c>
      <c r="L36" s="101" t="str">
        <f ca="1">i_quali!AM48</f>
        <v/>
      </c>
      <c r="M36" s="140" t="str">
        <f ca="1">i_quali!AG48</f>
        <v/>
      </c>
    </row>
    <row r="37" spans="1:13">
      <c r="A37" s="28"/>
      <c r="B37" s="28"/>
      <c r="C37" s="29"/>
      <c r="D37" s="101" t="str">
        <f ca="1">i_quali!AI49</f>
        <v/>
      </c>
      <c r="E37" s="23" t="str">
        <f ca="1">i_quali!AC49</f>
        <v/>
      </c>
      <c r="F37" s="101" t="str">
        <f ca="1">i_quali!AJ49</f>
        <v/>
      </c>
      <c r="G37" s="23" t="str">
        <f ca="1">i_quali!AD49</f>
        <v/>
      </c>
      <c r="H37" s="101" t="str">
        <f ca="1">i_quali!AK49</f>
        <v/>
      </c>
      <c r="I37" s="23" t="str">
        <f ca="1">i_quali!AE49</f>
        <v/>
      </c>
      <c r="J37" s="101" t="str">
        <f ca="1">i_quali!AL49</f>
        <v/>
      </c>
      <c r="K37" s="23" t="str">
        <f ca="1">i_quali!AF49</f>
        <v/>
      </c>
      <c r="L37" s="101" t="str">
        <f ca="1">i_quali!AM49</f>
        <v/>
      </c>
      <c r="M37" s="23" t="str">
        <f ca="1">i_quali!AG49</f>
        <v/>
      </c>
    </row>
    <row r="38" spans="1:13">
      <c r="D38" s="101" t="str">
        <f ca="1">i_quali!AI50</f>
        <v/>
      </c>
      <c r="E38" s="23" t="str">
        <f ca="1">i_quali!AC50</f>
        <v/>
      </c>
      <c r="F38" s="101" t="str">
        <f ca="1">i_quali!AJ50</f>
        <v/>
      </c>
      <c r="G38" s="23" t="str">
        <f ca="1">i_quali!AD50</f>
        <v/>
      </c>
      <c r="H38" s="101" t="str">
        <f ca="1">i_quali!AK50</f>
        <v/>
      </c>
      <c r="I38" s="23" t="str">
        <f ca="1">i_quali!AE50</f>
        <v/>
      </c>
      <c r="J38" s="101" t="str">
        <f ca="1">i_quali!AL50</f>
        <v/>
      </c>
      <c r="K38" s="23" t="str">
        <f ca="1">i_quali!AF50</f>
        <v/>
      </c>
      <c r="L38" s="101" t="str">
        <f ca="1">i_quali!AM50</f>
        <v/>
      </c>
      <c r="M38" s="23" t="str">
        <f ca="1">i_quali!AG50</f>
        <v/>
      </c>
    </row>
    <row r="39" spans="1:13">
      <c r="D39" s="101" t="str">
        <f ca="1">i_quali!AI51</f>
        <v/>
      </c>
      <c r="E39" s="23" t="str">
        <f ca="1">i_quali!AC51</f>
        <v/>
      </c>
      <c r="F39" s="101" t="str">
        <f ca="1">i_quali!AJ51</f>
        <v/>
      </c>
      <c r="G39" s="23" t="str">
        <f ca="1">i_quali!AD51</f>
        <v/>
      </c>
      <c r="H39" s="101" t="str">
        <f ca="1">i_quali!AK51</f>
        <v/>
      </c>
      <c r="I39" s="23" t="str">
        <f ca="1">i_quali!AE51</f>
        <v/>
      </c>
      <c r="J39" s="101" t="str">
        <f ca="1">i_quali!AL51</f>
        <v/>
      </c>
      <c r="K39" s="23" t="str">
        <f ca="1">i_quali!AF51</f>
        <v/>
      </c>
      <c r="L39" s="101" t="str">
        <f ca="1">i_quali!AM51</f>
        <v/>
      </c>
      <c r="M39" s="23" t="str">
        <f ca="1">i_quali!AG51</f>
        <v/>
      </c>
    </row>
    <row r="40" spans="1:13">
      <c r="D40" s="101" t="str">
        <f ca="1">i_quali!AI52</f>
        <v/>
      </c>
      <c r="E40" s="23" t="str">
        <f ca="1">i_quali!AC52</f>
        <v/>
      </c>
      <c r="F40" s="101" t="str">
        <f ca="1">i_quali!AJ52</f>
        <v/>
      </c>
      <c r="G40" s="23" t="str">
        <f ca="1">i_quali!AD52</f>
        <v/>
      </c>
      <c r="H40" s="101" t="str">
        <f ca="1">i_quali!AK52</f>
        <v/>
      </c>
      <c r="I40" s="23" t="str">
        <f ca="1">i_quali!AE52</f>
        <v/>
      </c>
      <c r="J40" s="101" t="str">
        <f ca="1">i_quali!AL52</f>
        <v/>
      </c>
      <c r="K40" s="23" t="str">
        <f ca="1">i_quali!AF52</f>
        <v/>
      </c>
      <c r="L40" s="101" t="str">
        <f ca="1">i_quali!AM52</f>
        <v/>
      </c>
      <c r="M40" s="23" t="str">
        <f ca="1">i_quali!AG52</f>
        <v/>
      </c>
    </row>
    <row r="41" spans="1:13">
      <c r="D41" s="101" t="str">
        <f ca="1">i_quali!AI53</f>
        <v/>
      </c>
      <c r="E41" s="23" t="str">
        <f ca="1">i_quali!AC53</f>
        <v/>
      </c>
      <c r="F41" s="101" t="str">
        <f ca="1">i_quali!AJ53</f>
        <v/>
      </c>
      <c r="G41" s="23" t="str">
        <f ca="1">i_quali!AD53</f>
        <v/>
      </c>
      <c r="H41" s="101" t="str">
        <f ca="1">i_quali!AK53</f>
        <v/>
      </c>
      <c r="I41" s="23" t="str">
        <f ca="1">i_quali!AE53</f>
        <v/>
      </c>
      <c r="J41" s="101" t="str">
        <f ca="1">i_quali!AL53</f>
        <v/>
      </c>
      <c r="K41" s="23" t="str">
        <f ca="1">i_quali!AF53</f>
        <v/>
      </c>
      <c r="L41" s="101" t="str">
        <f ca="1">i_quali!AM53</f>
        <v/>
      </c>
      <c r="M41" s="23" t="str">
        <f ca="1">i_quali!AG53</f>
        <v/>
      </c>
    </row>
    <row r="42" spans="1:13">
      <c r="D42" s="101" t="str">
        <f ca="1">i_quali!AI54</f>
        <v/>
      </c>
      <c r="E42" s="23" t="str">
        <f ca="1">i_quali!AC54</f>
        <v/>
      </c>
      <c r="F42" s="101" t="str">
        <f ca="1">i_quali!AJ54</f>
        <v/>
      </c>
      <c r="G42" s="23" t="str">
        <f ca="1">i_quali!AD54</f>
        <v/>
      </c>
      <c r="H42" s="101" t="str">
        <f ca="1">i_quali!AK54</f>
        <v/>
      </c>
      <c r="I42" s="23" t="str">
        <f ca="1">i_quali!AE54</f>
        <v/>
      </c>
      <c r="J42" s="101" t="str">
        <f ca="1">i_quali!AL54</f>
        <v/>
      </c>
      <c r="K42" s="23" t="str">
        <f ca="1">i_quali!AF54</f>
        <v/>
      </c>
      <c r="L42" s="101" t="str">
        <f ca="1">i_quali!AM54</f>
        <v/>
      </c>
      <c r="M42" s="23" t="str">
        <f ca="1">i_quali!AG54</f>
        <v/>
      </c>
    </row>
    <row r="43" spans="1:13">
      <c r="D43" s="101" t="str">
        <f ca="1">i_quali!AI55</f>
        <v/>
      </c>
      <c r="E43" s="23" t="str">
        <f ca="1">i_quali!AC55</f>
        <v/>
      </c>
      <c r="F43" s="101" t="str">
        <f ca="1">i_quali!AJ55</f>
        <v/>
      </c>
      <c r="G43" s="23" t="str">
        <f ca="1">i_quali!AD55</f>
        <v/>
      </c>
      <c r="H43" s="101" t="str">
        <f ca="1">i_quali!AK55</f>
        <v/>
      </c>
      <c r="I43" s="23" t="str">
        <f ca="1">i_quali!AE55</f>
        <v/>
      </c>
      <c r="J43" s="101" t="str">
        <f ca="1">i_quali!AL55</f>
        <v/>
      </c>
      <c r="K43" s="23" t="str">
        <f ca="1">i_quali!AF55</f>
        <v/>
      </c>
      <c r="L43" s="101" t="str">
        <f ca="1">i_quali!AM55</f>
        <v/>
      </c>
      <c r="M43" s="23" t="str">
        <f ca="1">i_quali!AG55</f>
        <v/>
      </c>
    </row>
    <row r="44" spans="1:13">
      <c r="D44" s="101" t="str">
        <f ca="1">i_quali!AI56</f>
        <v/>
      </c>
      <c r="E44" s="23" t="str">
        <f ca="1">i_quali!AC56</f>
        <v/>
      </c>
      <c r="F44" s="101" t="str">
        <f ca="1">i_quali!AJ56</f>
        <v/>
      </c>
      <c r="G44" s="23" t="str">
        <f ca="1">i_quali!AD56</f>
        <v/>
      </c>
      <c r="H44" s="101" t="str">
        <f ca="1">i_quali!AK56</f>
        <v/>
      </c>
      <c r="I44" s="23" t="str">
        <f ca="1">i_quali!AE56</f>
        <v/>
      </c>
      <c r="J44" s="101" t="str">
        <f ca="1">i_quali!AL56</f>
        <v/>
      </c>
      <c r="K44" s="23" t="str">
        <f ca="1">i_quali!AF56</f>
        <v/>
      </c>
      <c r="L44" s="101" t="str">
        <f ca="1">i_quali!AM56</f>
        <v/>
      </c>
      <c r="M44" s="23" t="str">
        <f ca="1">i_quali!AG56</f>
        <v/>
      </c>
    </row>
    <row r="45" spans="1:13">
      <c r="D45" s="101" t="str">
        <f ca="1">i_quali!AI57</f>
        <v/>
      </c>
      <c r="E45" s="23" t="str">
        <f ca="1">i_quali!AC57</f>
        <v/>
      </c>
      <c r="F45" s="101" t="str">
        <f ca="1">i_quali!AJ57</f>
        <v/>
      </c>
      <c r="G45" s="23" t="str">
        <f ca="1">i_quali!AD57</f>
        <v/>
      </c>
      <c r="H45" s="101" t="str">
        <f ca="1">i_quali!AK57</f>
        <v/>
      </c>
      <c r="I45" s="23" t="str">
        <f ca="1">i_quali!AE57</f>
        <v/>
      </c>
      <c r="J45" s="101" t="str">
        <f ca="1">i_quali!AL57</f>
        <v/>
      </c>
      <c r="K45" s="23" t="str">
        <f ca="1">i_quali!AF57</f>
        <v/>
      </c>
      <c r="L45" s="101" t="str">
        <f ca="1">i_quali!AM57</f>
        <v/>
      </c>
      <c r="M45" s="23" t="str">
        <f ca="1">i_quali!AG57</f>
        <v/>
      </c>
    </row>
    <row r="46" spans="1:13">
      <c r="D46" s="101" t="str">
        <f ca="1">i_quali!AI58</f>
        <v/>
      </c>
      <c r="E46" s="23" t="str">
        <f ca="1">i_quali!AC58</f>
        <v/>
      </c>
      <c r="F46" s="101" t="str">
        <f ca="1">i_quali!AJ58</f>
        <v/>
      </c>
      <c r="G46" s="23" t="str">
        <f ca="1">i_quali!AD58</f>
        <v/>
      </c>
      <c r="H46" s="101" t="str">
        <f ca="1">i_quali!AK58</f>
        <v/>
      </c>
      <c r="I46" s="23" t="str">
        <f ca="1">i_quali!AE58</f>
        <v/>
      </c>
      <c r="J46" s="101" t="str">
        <f ca="1">i_quali!AL58</f>
        <v/>
      </c>
      <c r="K46" s="23" t="str">
        <f ca="1">i_quali!AF58</f>
        <v/>
      </c>
      <c r="L46" s="101" t="str">
        <f ca="1">i_quali!AM58</f>
        <v/>
      </c>
      <c r="M46" s="23" t="str">
        <f ca="1">i_quali!AG58</f>
        <v/>
      </c>
    </row>
    <row r="47" spans="1:13">
      <c r="D47" s="101" t="str">
        <f ca="1">i_quali!AI59</f>
        <v/>
      </c>
      <c r="E47" s="23" t="str">
        <f ca="1">i_quali!AC59</f>
        <v/>
      </c>
      <c r="F47" s="101" t="str">
        <f ca="1">i_quali!AJ59</f>
        <v/>
      </c>
      <c r="G47" s="23" t="str">
        <f ca="1">i_quali!AD59</f>
        <v/>
      </c>
      <c r="H47" s="101" t="str">
        <f ca="1">i_quali!AK59</f>
        <v/>
      </c>
      <c r="I47" s="23" t="str">
        <f ca="1">i_quali!AE59</f>
        <v/>
      </c>
      <c r="J47" s="101" t="str">
        <f ca="1">i_quali!AL59</f>
        <v/>
      </c>
      <c r="K47" s="23" t="str">
        <f ca="1">i_quali!AF59</f>
        <v/>
      </c>
      <c r="L47" s="101" t="str">
        <f ca="1">i_quali!AM59</f>
        <v/>
      </c>
      <c r="M47" s="23" t="str">
        <f ca="1">i_quali!AG59</f>
        <v/>
      </c>
    </row>
    <row r="48" spans="1:13">
      <c r="D48" s="101" t="str">
        <f ca="1">i_quali!AI60</f>
        <v/>
      </c>
      <c r="E48" s="23" t="str">
        <f ca="1">i_quali!AC60</f>
        <v/>
      </c>
      <c r="F48" s="101" t="str">
        <f ca="1">i_quali!AJ60</f>
        <v/>
      </c>
      <c r="G48" s="23" t="str">
        <f ca="1">i_quali!AD60</f>
        <v/>
      </c>
      <c r="H48" s="101" t="str">
        <f ca="1">i_quali!AK60</f>
        <v/>
      </c>
      <c r="I48" s="23" t="str">
        <f ca="1">i_quali!AE60</f>
        <v/>
      </c>
      <c r="J48" s="101" t="str">
        <f ca="1">i_quali!AL60</f>
        <v/>
      </c>
      <c r="K48" s="23" t="str">
        <f ca="1">i_quali!AF60</f>
        <v/>
      </c>
      <c r="L48" s="101" t="str">
        <f ca="1">i_quali!AM60</f>
        <v/>
      </c>
      <c r="M48" s="23" t="str">
        <f ca="1">i_quali!AG60</f>
        <v/>
      </c>
    </row>
    <row r="49" spans="4:13">
      <c r="D49" s="101" t="str">
        <f ca="1">i_quali!AI61</f>
        <v/>
      </c>
      <c r="E49" s="23" t="str">
        <f ca="1">i_quali!AC61</f>
        <v/>
      </c>
      <c r="F49" s="101" t="str">
        <f ca="1">i_quali!AJ61</f>
        <v/>
      </c>
      <c r="G49" s="23" t="str">
        <f ca="1">i_quali!AD61</f>
        <v/>
      </c>
      <c r="H49" s="101" t="str">
        <f ca="1">i_quali!AK61</f>
        <v/>
      </c>
      <c r="I49" s="23" t="str">
        <f ca="1">i_quali!AE61</f>
        <v/>
      </c>
      <c r="J49" s="101" t="str">
        <f ca="1">i_quali!AL61</f>
        <v/>
      </c>
      <c r="K49" s="23" t="str">
        <f ca="1">i_quali!AF61</f>
        <v/>
      </c>
      <c r="L49" s="101" t="str">
        <f ca="1">i_quali!AM61</f>
        <v/>
      </c>
      <c r="M49" s="23" t="str">
        <f ca="1">i_quali!AG61</f>
        <v/>
      </c>
    </row>
    <row r="50" spans="4:13">
      <c r="D50" s="101" t="str">
        <f ca="1">i_quali!AI62</f>
        <v/>
      </c>
      <c r="E50" s="23" t="str">
        <f ca="1">i_quali!AC62</f>
        <v/>
      </c>
      <c r="F50" s="101" t="str">
        <f ca="1">i_quali!AJ62</f>
        <v/>
      </c>
      <c r="G50" s="23" t="str">
        <f ca="1">i_quali!AD62</f>
        <v/>
      </c>
      <c r="H50" s="101" t="str">
        <f ca="1">i_quali!AK62</f>
        <v/>
      </c>
      <c r="I50" s="23" t="str">
        <f ca="1">i_quali!AE62</f>
        <v/>
      </c>
      <c r="J50" s="101" t="str">
        <f ca="1">i_quali!AL62</f>
        <v/>
      </c>
      <c r="K50" s="23" t="str">
        <f ca="1">i_quali!AF62</f>
        <v/>
      </c>
      <c r="L50" s="101" t="str">
        <f ca="1">i_quali!AM62</f>
        <v/>
      </c>
      <c r="M50" s="23" t="str">
        <f ca="1">i_quali!AG62</f>
        <v/>
      </c>
    </row>
    <row r="51" spans="4:13">
      <c r="D51" s="101" t="str">
        <f ca="1">i_quali!AI63</f>
        <v/>
      </c>
      <c r="E51" s="23" t="str">
        <f ca="1">i_quali!AC63</f>
        <v/>
      </c>
      <c r="F51" s="101" t="str">
        <f ca="1">i_quali!AJ63</f>
        <v/>
      </c>
      <c r="G51" s="23" t="str">
        <f ca="1">i_quali!AD63</f>
        <v/>
      </c>
      <c r="H51" s="101" t="str">
        <f ca="1">i_quali!AK63</f>
        <v/>
      </c>
      <c r="I51" s="23" t="str">
        <f ca="1">i_quali!AE63</f>
        <v/>
      </c>
      <c r="J51" s="101" t="str">
        <f ca="1">i_quali!AL63</f>
        <v/>
      </c>
      <c r="K51" s="23" t="str">
        <f ca="1">i_quali!AF63</f>
        <v/>
      </c>
      <c r="L51" s="101" t="str">
        <f ca="1">i_quali!AM63</f>
        <v/>
      </c>
      <c r="M51" s="23" t="str">
        <f ca="1">i_quali!AG63</f>
        <v/>
      </c>
    </row>
    <row r="52" spans="4:13">
      <c r="D52" s="101" t="str">
        <f ca="1">i_quali!AI64</f>
        <v/>
      </c>
      <c r="E52" s="23" t="str">
        <f ca="1">i_quali!AC64</f>
        <v/>
      </c>
      <c r="F52" s="101" t="str">
        <f ca="1">i_quali!AJ64</f>
        <v/>
      </c>
      <c r="G52" s="23" t="str">
        <f ca="1">i_quali!AD64</f>
        <v/>
      </c>
      <c r="H52" s="101" t="str">
        <f ca="1">i_quali!AK64</f>
        <v/>
      </c>
      <c r="I52" s="23" t="str">
        <f ca="1">i_quali!AE64</f>
        <v/>
      </c>
      <c r="J52" s="101" t="str">
        <f ca="1">i_quali!AL64</f>
        <v/>
      </c>
      <c r="K52" s="23" t="str">
        <f ca="1">i_quali!AF64</f>
        <v/>
      </c>
      <c r="L52" s="101" t="str">
        <f ca="1">i_quali!AM64</f>
        <v/>
      </c>
      <c r="M52" s="23" t="str">
        <f ca="1">i_quali!AG64</f>
        <v/>
      </c>
    </row>
    <row r="53" spans="4:13">
      <c r="D53" s="101" t="str">
        <f ca="1">i_quali!AI65</f>
        <v/>
      </c>
      <c r="E53" s="23" t="str">
        <f ca="1">i_quali!AC65</f>
        <v/>
      </c>
      <c r="F53" s="101" t="str">
        <f ca="1">i_quali!AJ65</f>
        <v/>
      </c>
      <c r="G53" s="23" t="str">
        <f ca="1">i_quali!AD65</f>
        <v/>
      </c>
      <c r="H53" s="101" t="str">
        <f ca="1">i_quali!AK65</f>
        <v/>
      </c>
      <c r="I53" s="23" t="str">
        <f ca="1">i_quali!AE65</f>
        <v/>
      </c>
      <c r="J53" s="101" t="str">
        <f ca="1">i_quali!AL65</f>
        <v/>
      </c>
      <c r="K53" s="23" t="str">
        <f ca="1">i_quali!AF65</f>
        <v/>
      </c>
      <c r="L53" s="101" t="str">
        <f ca="1">i_quali!AM65</f>
        <v/>
      </c>
      <c r="M53" s="23" t="str">
        <f ca="1">i_quali!AG65</f>
        <v/>
      </c>
    </row>
    <row r="54" spans="4:13">
      <c r="D54" s="101" t="str">
        <f ca="1">i_quali!AI66</f>
        <v/>
      </c>
      <c r="E54" s="23" t="str">
        <f ca="1">i_quali!AC66</f>
        <v/>
      </c>
      <c r="F54" s="101" t="str">
        <f ca="1">i_quali!AJ66</f>
        <v/>
      </c>
      <c r="G54" s="23" t="str">
        <f ca="1">i_quali!AD66</f>
        <v/>
      </c>
      <c r="H54" s="101" t="str">
        <f ca="1">i_quali!AK66</f>
        <v/>
      </c>
      <c r="I54" s="23" t="str">
        <f ca="1">i_quali!AE66</f>
        <v/>
      </c>
      <c r="J54" s="101" t="str">
        <f ca="1">i_quali!AL66</f>
        <v/>
      </c>
      <c r="K54" s="23" t="str">
        <f ca="1">i_quali!AF66</f>
        <v/>
      </c>
      <c r="L54" s="101" t="str">
        <f ca="1">i_quali!AM66</f>
        <v/>
      </c>
      <c r="M54" s="23" t="str">
        <f ca="1">i_quali!AG66</f>
        <v/>
      </c>
    </row>
    <row r="55" spans="4:13">
      <c r="D55" s="101" t="str">
        <f ca="1">i_quali!AI67</f>
        <v/>
      </c>
      <c r="E55" s="23" t="str">
        <f ca="1">i_quali!AC67</f>
        <v/>
      </c>
      <c r="F55" s="101" t="str">
        <f ca="1">i_quali!AJ67</f>
        <v/>
      </c>
      <c r="G55" s="23" t="str">
        <f ca="1">i_quali!AD67</f>
        <v/>
      </c>
      <c r="H55" s="101" t="str">
        <f ca="1">i_quali!AK67</f>
        <v/>
      </c>
      <c r="I55" s="23" t="str">
        <f ca="1">i_quali!AE67</f>
        <v/>
      </c>
      <c r="J55" s="101" t="str">
        <f ca="1">i_quali!AL67</f>
        <v/>
      </c>
      <c r="K55" s="23" t="str">
        <f ca="1">i_quali!AF67</f>
        <v/>
      </c>
      <c r="L55" s="101" t="str">
        <f ca="1">i_quali!AM67</f>
        <v/>
      </c>
      <c r="M55" s="23" t="str">
        <f ca="1">i_quali!AG67</f>
        <v/>
      </c>
    </row>
    <row r="56" spans="4:13">
      <c r="D56" s="101" t="str">
        <f ca="1">i_quali!AI68</f>
        <v/>
      </c>
      <c r="E56" s="23" t="str">
        <f ca="1">i_quali!AC68</f>
        <v/>
      </c>
      <c r="F56" s="101" t="str">
        <f ca="1">i_quali!AJ68</f>
        <v/>
      </c>
      <c r="G56" s="23" t="str">
        <f ca="1">i_quali!AD68</f>
        <v/>
      </c>
      <c r="H56" s="101" t="str">
        <f ca="1">i_quali!AK68</f>
        <v/>
      </c>
      <c r="I56" s="23" t="str">
        <f ca="1">i_quali!AE68</f>
        <v/>
      </c>
      <c r="J56" s="101" t="str">
        <f ca="1">i_quali!AL68</f>
        <v/>
      </c>
      <c r="K56" s="23" t="str">
        <f ca="1">i_quali!AF68</f>
        <v/>
      </c>
      <c r="L56" s="101" t="str">
        <f ca="1">i_quali!AM68</f>
        <v/>
      </c>
      <c r="M56" s="23" t="str">
        <f ca="1">i_quali!AG68</f>
        <v/>
      </c>
    </row>
    <row r="57" spans="4:13">
      <c r="D57" s="101" t="str">
        <f ca="1">i_quali!AI69</f>
        <v/>
      </c>
      <c r="E57" s="23" t="str">
        <f ca="1">i_quali!AC69</f>
        <v/>
      </c>
      <c r="F57" s="101" t="str">
        <f ca="1">i_quali!AJ69</f>
        <v/>
      </c>
      <c r="G57" s="23" t="str">
        <f ca="1">i_quali!AD69</f>
        <v/>
      </c>
      <c r="H57" s="101" t="str">
        <f ca="1">i_quali!AK69</f>
        <v/>
      </c>
      <c r="I57" s="23" t="str">
        <f ca="1">i_quali!AE69</f>
        <v/>
      </c>
      <c r="J57" s="101" t="str">
        <f ca="1">i_quali!AL69</f>
        <v/>
      </c>
      <c r="K57" s="23" t="str">
        <f ca="1">i_quali!AF69</f>
        <v/>
      </c>
      <c r="L57" s="101" t="str">
        <f ca="1">i_quali!AM69</f>
        <v/>
      </c>
      <c r="M57" s="23" t="str">
        <f ca="1">i_quali!AG69</f>
        <v/>
      </c>
    </row>
    <row r="58" spans="4:13">
      <c r="D58" s="101" t="str">
        <f ca="1">i_quali!AI70</f>
        <v/>
      </c>
      <c r="E58" s="23" t="str">
        <f ca="1">i_quali!AC70</f>
        <v/>
      </c>
      <c r="F58" s="101" t="str">
        <f ca="1">i_quali!AJ70</f>
        <v/>
      </c>
      <c r="G58" s="23" t="str">
        <f ca="1">i_quali!AD70</f>
        <v/>
      </c>
      <c r="H58" s="101" t="str">
        <f ca="1">i_quali!AK70</f>
        <v/>
      </c>
      <c r="I58" s="23" t="str">
        <f ca="1">i_quali!AE70</f>
        <v/>
      </c>
      <c r="J58" s="101" t="str">
        <f ca="1">i_quali!AL70</f>
        <v/>
      </c>
      <c r="K58" s="23" t="str">
        <f ca="1">i_quali!AF70</f>
        <v/>
      </c>
      <c r="L58" s="101" t="str">
        <f ca="1">i_quali!AM70</f>
        <v/>
      </c>
      <c r="M58" s="23" t="str">
        <f ca="1">i_quali!AG70</f>
        <v/>
      </c>
    </row>
    <row r="59" spans="4:13">
      <c r="D59" s="101" t="str">
        <f ca="1">i_quali!AI71</f>
        <v/>
      </c>
      <c r="E59" s="23" t="str">
        <f ca="1">i_quali!AC71</f>
        <v/>
      </c>
      <c r="F59" s="101" t="str">
        <f ca="1">i_quali!AJ71</f>
        <v/>
      </c>
      <c r="G59" s="23" t="str">
        <f ca="1">i_quali!AD71</f>
        <v/>
      </c>
      <c r="H59" s="101" t="str">
        <f ca="1">i_quali!AK71</f>
        <v/>
      </c>
      <c r="I59" s="23" t="str">
        <f ca="1">i_quali!AE71</f>
        <v/>
      </c>
      <c r="J59" s="101" t="str">
        <f ca="1">i_quali!AL71</f>
        <v/>
      </c>
      <c r="K59" s="23" t="str">
        <f ca="1">i_quali!AF71</f>
        <v/>
      </c>
      <c r="L59" s="101" t="str">
        <f ca="1">i_quali!AM71</f>
        <v/>
      </c>
      <c r="M59" s="23" t="str">
        <f ca="1">i_quali!AG71</f>
        <v/>
      </c>
    </row>
    <row r="60" spans="4:13">
      <c r="D60" s="101" t="str">
        <f ca="1">i_quali!AI72</f>
        <v/>
      </c>
      <c r="E60" s="23" t="str">
        <f ca="1">i_quali!AC72</f>
        <v/>
      </c>
      <c r="F60" s="101" t="str">
        <f ca="1">i_quali!AJ72</f>
        <v/>
      </c>
      <c r="G60" s="23" t="str">
        <f ca="1">i_quali!AD72</f>
        <v/>
      </c>
      <c r="H60" s="101" t="str">
        <f ca="1">i_quali!AK72</f>
        <v/>
      </c>
      <c r="I60" s="23" t="str">
        <f ca="1">i_quali!AE72</f>
        <v/>
      </c>
      <c r="J60" s="101" t="str">
        <f ca="1">i_quali!AL72</f>
        <v/>
      </c>
      <c r="K60" s="23" t="str">
        <f ca="1">i_quali!AF72</f>
        <v/>
      </c>
      <c r="L60" s="101" t="str">
        <f ca="1">i_quali!AM72</f>
        <v/>
      </c>
      <c r="M60" s="23" t="str">
        <f ca="1">i_quali!AG72</f>
        <v/>
      </c>
    </row>
    <row r="61" spans="4:13" s="30" customFormat="1">
      <c r="D61" s="101" t="str">
        <f ca="1">i_quali!AI73</f>
        <v>x</v>
      </c>
    </row>
  </sheetData>
  <sheetProtection password="B7E9" sheet="1" objects="1" scenarios="1" selectLockedCells="1" selectUnlockedCells="1"/>
  <mergeCells count="2">
    <mergeCell ref="E3:M3"/>
    <mergeCell ref="E2:M2"/>
  </mergeCells>
  <phoneticPr fontId="10" type="noConversion"/>
  <conditionalFormatting sqref="K37:K60 E37:E60 G37:G60 I37:I60 M37:M60">
    <cfRule type="expression" dxfId="29" priority="1" stopIfTrue="1">
      <formula>D37=1</formula>
    </cfRule>
    <cfRule type="expression" dxfId="28" priority="2" stopIfTrue="1">
      <formula>D37=3</formula>
    </cfRule>
  </conditionalFormatting>
  <conditionalFormatting sqref="E6:E36 G6:G36 I6:I36 K6:K36 M6:M36">
    <cfRule type="expression" dxfId="27" priority="5" stopIfTrue="1">
      <formula>D6=1</formula>
    </cfRule>
    <cfRule type="expression" dxfId="26" priority="6" stopIfTrue="1">
      <formula>D6=3</formula>
    </cfRule>
  </conditionalFormatting>
  <pageMargins left="0.7" right="0.7" top="0.75" bottom="0.75" header="0.3" footer="0.3"/>
  <pageSetup paperSize="0" orientation="portrait" horizontalDpi="0" verticalDpi="0" copies="0" r:id="rId1"/>
  <legacyDrawing r:id="rId2"/>
</worksheet>
</file>

<file path=xl/worksheets/sheet15.xml><?xml version="1.0" encoding="utf-8"?>
<worksheet xmlns="http://schemas.openxmlformats.org/spreadsheetml/2006/main" xmlns:r="http://schemas.openxmlformats.org/officeDocument/2006/relationships">
  <sheetPr codeName="Sheet13"/>
  <dimension ref="A1:L67"/>
  <sheetViews>
    <sheetView showGridLines="0" showRowColHeaders="0" zoomScaleNormal="100" workbookViewId="0">
      <selection activeCell="B23" sqref="B23"/>
    </sheetView>
  </sheetViews>
  <sheetFormatPr defaultRowHeight="15"/>
  <cols>
    <col min="1" max="1" width="1.7109375" style="61" customWidth="1"/>
    <col min="2" max="2" width="38.5703125" style="61" customWidth="1"/>
    <col min="3" max="3" width="2.140625" style="61" customWidth="1"/>
    <col min="4" max="4" width="7.5703125" style="61" customWidth="1"/>
    <col min="5" max="5" width="4.7109375" style="61" hidden="1" customWidth="1"/>
    <col min="6" max="6" width="5" style="61" customWidth="1"/>
    <col min="7" max="7" width="25.42578125" style="61" customWidth="1"/>
    <col min="8" max="8" width="6.5703125" style="61" customWidth="1"/>
    <col min="9" max="9" width="1.140625" style="61" customWidth="1"/>
    <col min="10" max="10" width="16.140625" style="61" customWidth="1"/>
    <col min="11" max="11" width="2.85546875" style="61" customWidth="1"/>
    <col min="12" max="16384" width="9.140625" style="61"/>
  </cols>
  <sheetData>
    <row r="1" spans="1:12" s="63" customFormat="1" ht="20.25" customHeight="1">
      <c r="A1" s="123" t="s">
        <v>1085</v>
      </c>
      <c r="B1" s="123"/>
      <c r="C1" s="138"/>
      <c r="D1" s="61"/>
      <c r="E1" s="61"/>
      <c r="F1" s="62" t="str">
        <f ca="1">uxb_settings!I20</f>
        <v>Overall score</v>
      </c>
      <c r="G1" s="61"/>
      <c r="H1" s="61"/>
      <c r="I1" s="61"/>
      <c r="J1" s="61"/>
      <c r="K1" s="61"/>
      <c r="L1" s="61"/>
    </row>
    <row r="2" spans="1:12" ht="13.5" customHeight="1">
      <c r="A2" s="64"/>
      <c r="B2" s="33" t="s">
        <v>1084</v>
      </c>
      <c r="C2" s="65"/>
      <c r="F2" s="66" t="str">
        <f ca="1">uxb_settings!J20</f>
        <v>Normalised score 0-100, 100=best</v>
      </c>
    </row>
    <row r="3" spans="1:12" ht="15.75">
      <c r="A3" s="64"/>
      <c r="B3" s="64"/>
      <c r="C3" s="67"/>
      <c r="F3" s="68"/>
    </row>
    <row r="4" spans="1:12" ht="13.5" customHeight="1">
      <c r="A4" s="64"/>
      <c r="B4" s="33" t="s">
        <v>1031</v>
      </c>
      <c r="C4" s="67"/>
      <c r="F4" s="141" t="s">
        <v>1090</v>
      </c>
      <c r="G4" s="142"/>
      <c r="H4" s="142"/>
      <c r="I4" s="142"/>
      <c r="J4" s="143" t="str">
        <f ca="1">CONCATENATE("Score / ",uxb_settings!B21)</f>
        <v>Score / 100</v>
      </c>
    </row>
    <row r="5" spans="1:12" ht="13.5" customHeight="1">
      <c r="A5" s="64"/>
      <c r="B5" s="33" t="s">
        <v>1032</v>
      </c>
      <c r="C5" s="67"/>
      <c r="D5" s="69"/>
      <c r="E5" s="61">
        <f ca="1">i_rank_i!N7</f>
        <v>2</v>
      </c>
      <c r="F5" s="70">
        <f ca="1">i_rank_i!O7</f>
        <v>1</v>
      </c>
      <c r="G5" s="71" t="str">
        <f ca="1">i_rank_i!P7</f>
        <v>Peru</v>
      </c>
      <c r="H5" s="72">
        <f ca="1">i_rank_i!Q7</f>
        <v>73.8</v>
      </c>
      <c r="I5" s="72"/>
      <c r="J5" s="73" t="str">
        <f ca="1">IF(ISNUMBER(H5),REPT("|",H5*(50/uxb_settings!$B$21)),"")</f>
        <v>||||||||||||||||||||||||||||||||||||</v>
      </c>
    </row>
    <row r="6" spans="1:12" ht="13.5" customHeight="1">
      <c r="A6" s="64"/>
      <c r="B6" s="33" t="s">
        <v>1032</v>
      </c>
      <c r="C6" s="67"/>
      <c r="D6" s="69"/>
      <c r="E6" s="61">
        <f ca="1">i_rank_i!N8</f>
        <v>2</v>
      </c>
      <c r="F6" s="70">
        <f ca="1">i_rank_i!O8</f>
        <v>2</v>
      </c>
      <c r="G6" s="71" t="str">
        <f ca="1">i_rank_i!P8</f>
        <v>Bolivia</v>
      </c>
      <c r="H6" s="72">
        <f ca="1">i_rank_i!Q8</f>
        <v>71.7</v>
      </c>
      <c r="I6" s="72"/>
      <c r="J6" s="73" t="str">
        <f ca="1">IF(ISNUMBER(H6),REPT("|",H6*(50/uxb_settings!$B$21)),"")</f>
        <v>|||||||||||||||||||||||||||||||||||</v>
      </c>
    </row>
    <row r="7" spans="1:12" ht="13.5" customHeight="1">
      <c r="A7" s="64"/>
      <c r="B7" s="64"/>
      <c r="C7" s="67"/>
      <c r="D7" s="69"/>
      <c r="E7" s="61">
        <f ca="1">i_rank_i!N9</f>
        <v>2</v>
      </c>
      <c r="F7" s="70">
        <f ca="1">i_rank_i!O9</f>
        <v>3</v>
      </c>
      <c r="G7" s="71" t="str">
        <f ca="1">i_rank_i!P9</f>
        <v>Philippines</v>
      </c>
      <c r="H7" s="72">
        <f ca="1">i_rank_i!Q9</f>
        <v>68.400000000000006</v>
      </c>
      <c r="I7" s="72"/>
      <c r="J7" s="73" t="str">
        <f ca="1">IF(ISNUMBER(H7),REPT("|",H7*(50/uxb_settings!$B$21)),"")</f>
        <v>||||||||||||||||||||||||||||||||||</v>
      </c>
    </row>
    <row r="8" spans="1:12" ht="13.5" customHeight="1">
      <c r="A8" s="64"/>
      <c r="B8" s="33" t="s">
        <v>1033</v>
      </c>
      <c r="C8" s="67"/>
      <c r="D8" s="69"/>
      <c r="E8" s="61">
        <f ca="1">i_rank_i!N10</f>
        <v>2</v>
      </c>
      <c r="F8" s="70">
        <f ca="1">i_rank_i!O10</f>
        <v>4</v>
      </c>
      <c r="G8" s="71" t="str">
        <f ca="1">i_rank_i!P10</f>
        <v>India</v>
      </c>
      <c r="H8" s="72">
        <f ca="1">i_rank_i!Q10</f>
        <v>62.1</v>
      </c>
      <c r="I8" s="72"/>
      <c r="J8" s="73" t="str">
        <f ca="1">IF(ISNUMBER(H8),REPT("|",H8*(50/uxb_settings!$B$21)),"")</f>
        <v>|||||||||||||||||||||||||||||||</v>
      </c>
    </row>
    <row r="9" spans="1:12" ht="13.5" customHeight="1">
      <c r="A9" s="64"/>
      <c r="B9" s="64"/>
      <c r="C9" s="67"/>
      <c r="D9" s="69"/>
      <c r="E9" s="61">
        <f ca="1">i_rank_i!N11</f>
        <v>2</v>
      </c>
      <c r="F9" s="70">
        <f ca="1">i_rank_i!O11</f>
        <v>5</v>
      </c>
      <c r="G9" s="71" t="str">
        <f ca="1">i_rank_i!P11</f>
        <v>Ghana</v>
      </c>
      <c r="H9" s="72">
        <f ca="1">i_rank_i!Q11</f>
        <v>60.9</v>
      </c>
      <c r="I9" s="72"/>
      <c r="J9" s="73" t="str">
        <f ca="1">IF(ISNUMBER(H9),REPT("|",H9*(50/uxb_settings!$B$21)),"")</f>
        <v>||||||||||||||||||||||||||||||</v>
      </c>
    </row>
    <row r="10" spans="1:12" ht="13.5" customHeight="1">
      <c r="A10" s="64"/>
      <c r="B10" s="34" t="s">
        <v>1034</v>
      </c>
      <c r="C10" s="67"/>
      <c r="D10" s="69"/>
      <c r="E10" s="61">
        <f ca="1">i_rank_i!N12</f>
        <v>2</v>
      </c>
      <c r="F10" s="70">
        <f ca="1">i_rank_i!O12</f>
        <v>6</v>
      </c>
      <c r="G10" s="71" t="str">
        <f ca="1">i_rank_i!P12</f>
        <v>Ecuador</v>
      </c>
      <c r="H10" s="72">
        <f ca="1">i_rank_i!Q12</f>
        <v>59.7</v>
      </c>
      <c r="I10" s="72"/>
      <c r="J10" s="73" t="str">
        <f ca="1">IF(ISNUMBER(H10),REPT("|",H10*(50/uxb_settings!$B$21)),"")</f>
        <v>|||||||||||||||||||||||||||||</v>
      </c>
    </row>
    <row r="11" spans="1:12" ht="13.5" customHeight="1">
      <c r="A11" s="64"/>
      <c r="B11" s="64"/>
      <c r="C11" s="67"/>
      <c r="D11" s="69"/>
      <c r="E11" s="61">
        <f ca="1">i_rank_i!N13</f>
        <v>2</v>
      </c>
      <c r="F11" s="70">
        <f ca="1">i_rank_i!O13</f>
        <v>7</v>
      </c>
      <c r="G11" s="71" t="str">
        <f ca="1">i_rank_i!P13</f>
        <v>Nicaragua</v>
      </c>
      <c r="H11" s="72">
        <f ca="1">i_rank_i!Q13</f>
        <v>58.7</v>
      </c>
      <c r="I11" s="72"/>
      <c r="J11" s="73" t="str">
        <f ca="1">IF(ISNUMBER(H11),REPT("|",H11*(50/uxb_settings!$B$21)),"")</f>
        <v>|||||||||||||||||||||||||||||</v>
      </c>
    </row>
    <row r="12" spans="1:12" ht="13.5" customHeight="1">
      <c r="A12" s="64"/>
      <c r="B12" s="64"/>
      <c r="C12" s="67"/>
      <c r="D12" s="69"/>
      <c r="E12" s="61">
        <f ca="1">i_rank_i!N14</f>
        <v>2</v>
      </c>
      <c r="F12" s="70">
        <f ca="1">i_rank_i!O14</f>
        <v>8</v>
      </c>
      <c r="G12" s="71" t="str">
        <f ca="1">i_rank_i!P14</f>
        <v>Colombia</v>
      </c>
      <c r="H12" s="72">
        <f ca="1">i_rank_i!Q14</f>
        <v>58.6</v>
      </c>
      <c r="I12" s="72"/>
      <c r="J12" s="73" t="str">
        <f ca="1">IF(ISNUMBER(H12),REPT("|",H12*(50/uxb_settings!$B$21)),"")</f>
        <v>|||||||||||||||||||||||||||||</v>
      </c>
    </row>
    <row r="13" spans="1:12" ht="13.5" customHeight="1">
      <c r="A13" s="64"/>
      <c r="B13" s="64"/>
      <c r="C13" s="67"/>
      <c r="D13" s="69"/>
      <c r="E13" s="61">
        <f ca="1">i_rank_i!N15</f>
        <v>2</v>
      </c>
      <c r="F13" s="70" t="str">
        <f ca="1">i_rank_i!O15</f>
        <v>=9</v>
      </c>
      <c r="G13" s="71" t="str">
        <f ca="1">i_rank_i!P15</f>
        <v>El Salvador</v>
      </c>
      <c r="H13" s="72">
        <f ca="1">i_rank_i!Q15</f>
        <v>57.5</v>
      </c>
      <c r="I13" s="72"/>
      <c r="J13" s="73" t="str">
        <f ca="1">IF(ISNUMBER(H13),REPT("|",H13*(50/uxb_settings!$B$21)),"")</f>
        <v>||||||||||||||||||||||||||||</v>
      </c>
    </row>
    <row r="14" spans="1:12" ht="13.5" customHeight="1">
      <c r="A14" s="64"/>
      <c r="B14" s="64"/>
      <c r="C14" s="67"/>
      <c r="D14" s="69"/>
      <c r="E14" s="61">
        <f ca="1">i_rank_i!N16</f>
        <v>2</v>
      </c>
      <c r="F14" s="70" t="str">
        <f ca="1">i_rank_i!O16</f>
        <v>=9</v>
      </c>
      <c r="G14" s="71" t="str">
        <f ca="1">i_rank_i!P16</f>
        <v>Uganda</v>
      </c>
      <c r="H14" s="72">
        <f ca="1">i_rank_i!Q16</f>
        <v>57.5</v>
      </c>
      <c r="I14" s="72"/>
      <c r="J14" s="73" t="str">
        <f ca="1">IF(ISNUMBER(H14),REPT("|",H14*(50/uxb_settings!$B$21)),"")</f>
        <v>||||||||||||||||||||||||||||</v>
      </c>
    </row>
    <row r="15" spans="1:12" ht="13.5" customHeight="1">
      <c r="A15" s="64"/>
      <c r="B15" s="64"/>
      <c r="C15" s="67"/>
      <c r="D15" s="69"/>
      <c r="E15" s="61">
        <f ca="1">i_rank_i!N17</f>
        <v>2</v>
      </c>
      <c r="F15" s="70">
        <f ca="1">i_rank_i!O17</f>
        <v>11</v>
      </c>
      <c r="G15" s="71" t="str">
        <f ca="1">i_rank_i!P17</f>
        <v>Pakistan</v>
      </c>
      <c r="H15" s="72">
        <f ca="1">i_rank_i!Q17</f>
        <v>56.5</v>
      </c>
      <c r="I15" s="72"/>
      <c r="J15" s="73" t="str">
        <f ca="1">IF(ISNUMBER(H15),REPT("|",H15*(50/uxb_settings!$B$21)),"")</f>
        <v>||||||||||||||||||||||||||||</v>
      </c>
    </row>
    <row r="16" spans="1:12" ht="13.5" customHeight="1">
      <c r="A16" s="64"/>
      <c r="B16" s="64"/>
      <c r="C16" s="67"/>
      <c r="D16" s="69"/>
      <c r="E16" s="61">
        <f ca="1">i_rank_i!N18</f>
        <v>2</v>
      </c>
      <c r="F16" s="70">
        <f ca="1">i_rank_i!O18</f>
        <v>12</v>
      </c>
      <c r="G16" s="71" t="str">
        <f ca="1">i_rank_i!P18</f>
        <v>Kyrgyzstan</v>
      </c>
      <c r="H16" s="72">
        <f ca="1">i_rank_i!Q18</f>
        <v>56.2</v>
      </c>
      <c r="I16" s="72"/>
      <c r="J16" s="73" t="str">
        <f ca="1">IF(ISNUMBER(H16),REPT("|",H16*(50/uxb_settings!$B$21)),"")</f>
        <v>||||||||||||||||||||||||||||</v>
      </c>
    </row>
    <row r="17" spans="1:10" ht="13.5" customHeight="1">
      <c r="A17" s="64"/>
      <c r="B17" s="64"/>
      <c r="C17" s="67"/>
      <c r="D17" s="69"/>
      <c r="E17" s="61">
        <f ca="1">i_rank_i!N19</f>
        <v>2</v>
      </c>
      <c r="F17" s="70">
        <f ca="1">i_rank_i!O19</f>
        <v>13</v>
      </c>
      <c r="G17" s="71" t="str">
        <f ca="1">i_rank_i!P19</f>
        <v>Kenya</v>
      </c>
      <c r="H17" s="72">
        <f ca="1">i_rank_i!Q19</f>
        <v>55.8</v>
      </c>
      <c r="I17" s="72"/>
      <c r="J17" s="73" t="str">
        <f ca="1">IF(ISNUMBER(H17),REPT("|",H17*(50/uxb_settings!$B$21)),"")</f>
        <v>|||||||||||||||||||||||||||</v>
      </c>
    </row>
    <row r="18" spans="1:10" ht="13.5" customHeight="1">
      <c r="A18" s="64"/>
      <c r="B18" s="64"/>
      <c r="C18" s="67"/>
      <c r="D18" s="69"/>
      <c r="E18" s="61">
        <f ca="1">i_rank_i!N20</f>
        <v>2</v>
      </c>
      <c r="F18" s="70">
        <f ca="1">i_rank_i!O20</f>
        <v>14</v>
      </c>
      <c r="G18" s="71" t="str">
        <f ca="1">i_rank_i!P20</f>
        <v>Cambodia</v>
      </c>
      <c r="H18" s="72">
        <f ca="1">i_rank_i!Q20</f>
        <v>54.1</v>
      </c>
      <c r="I18" s="72"/>
      <c r="J18" s="73" t="str">
        <f ca="1">IF(ISNUMBER(H18),REPT("|",H18*(50/uxb_settings!$B$21)),"")</f>
        <v>|||||||||||||||||||||||||||</v>
      </c>
    </row>
    <row r="19" spans="1:10" ht="13.5" customHeight="1">
      <c r="A19" s="64"/>
      <c r="B19" s="64"/>
      <c r="C19" s="67"/>
      <c r="D19" s="69"/>
      <c r="E19" s="61">
        <f ca="1">i_rank_i!N21</f>
        <v>2</v>
      </c>
      <c r="F19" s="70">
        <f ca="1">i_rank_i!O21</f>
        <v>15</v>
      </c>
      <c r="G19" s="71" t="str">
        <f ca="1">i_rank_i!P21</f>
        <v>Guatemala</v>
      </c>
      <c r="H19" s="72">
        <f ca="1">i_rank_i!Q21</f>
        <v>51.8</v>
      </c>
      <c r="I19" s="72"/>
      <c r="J19" s="73" t="str">
        <f ca="1">IF(ISNUMBER(H19),REPT("|",H19*(50/uxb_settings!$B$21)),"")</f>
        <v>|||||||||||||||||||||||||</v>
      </c>
    </row>
    <row r="20" spans="1:10" ht="13.5" customHeight="1">
      <c r="A20" s="64"/>
      <c r="B20" s="64"/>
      <c r="C20" s="67"/>
      <c r="D20" s="69"/>
      <c r="E20" s="61">
        <f ca="1">i_rank_i!N22</f>
        <v>2</v>
      </c>
      <c r="F20" s="70">
        <f ca="1">i_rank_i!O22</f>
        <v>16</v>
      </c>
      <c r="G20" s="71" t="str">
        <f ca="1">i_rank_i!P22</f>
        <v>Panama</v>
      </c>
      <c r="H20" s="72">
        <f ca="1">i_rank_i!Q22</f>
        <v>50.9</v>
      </c>
      <c r="I20" s="72"/>
      <c r="J20" s="73" t="str">
        <f ca="1">IF(ISNUMBER(H20),REPT("|",H20*(50/uxb_settings!$B$21)),"")</f>
        <v>|||||||||||||||||||||||||</v>
      </c>
    </row>
    <row r="21" spans="1:10" ht="13.5" customHeight="1">
      <c r="A21" s="64"/>
      <c r="B21" s="64"/>
      <c r="C21" s="67"/>
      <c r="D21" s="69"/>
      <c r="E21" s="61">
        <f ca="1">i_rank_i!N23</f>
        <v>2</v>
      </c>
      <c r="F21" s="70">
        <f ca="1">i_rank_i!O23</f>
        <v>17</v>
      </c>
      <c r="G21" s="71" t="str">
        <f ca="1">i_rank_i!P23</f>
        <v>Paraguay</v>
      </c>
      <c r="H21" s="72">
        <f ca="1">i_rank_i!Q23</f>
        <v>49.5</v>
      </c>
      <c r="I21" s="72"/>
      <c r="J21" s="73" t="str">
        <f ca="1">IF(ISNUMBER(H21),REPT("|",H21*(50/uxb_settings!$B$21)),"")</f>
        <v>||||||||||||||||||||||||</v>
      </c>
    </row>
    <row r="22" spans="1:10" ht="13.5" customHeight="1">
      <c r="A22" s="64"/>
      <c r="B22" s="64"/>
      <c r="C22" s="67"/>
      <c r="D22" s="69"/>
      <c r="E22" s="61">
        <f ca="1">i_rank_i!N24</f>
        <v>2</v>
      </c>
      <c r="F22" s="70">
        <f ca="1">i_rank_i!O24</f>
        <v>18</v>
      </c>
      <c r="G22" s="71" t="str">
        <f ca="1">i_rank_i!P24</f>
        <v>Honduras</v>
      </c>
      <c r="H22" s="72">
        <f ca="1">i_rank_i!Q24</f>
        <v>49.3</v>
      </c>
      <c r="I22" s="72"/>
      <c r="J22" s="73" t="str">
        <f ca="1">IF(ISNUMBER(H22),REPT("|",H22*(50/uxb_settings!$B$21)),"")</f>
        <v>||||||||||||||||||||||||</v>
      </c>
    </row>
    <row r="23" spans="1:10" ht="13.5" customHeight="1">
      <c r="A23" s="64"/>
      <c r="B23" s="64"/>
      <c r="C23" s="67"/>
      <c r="D23" s="69"/>
      <c r="E23" s="61">
        <f ca="1">i_rank_i!N25</f>
        <v>2</v>
      </c>
      <c r="F23" s="70">
        <f ca="1">i_rank_i!O25</f>
        <v>19</v>
      </c>
      <c r="G23" s="71" t="str">
        <f ca="1">i_rank_i!P25</f>
        <v>Tanzania</v>
      </c>
      <c r="H23" s="72">
        <f ca="1">i_rank_i!Q25</f>
        <v>48.4</v>
      </c>
      <c r="I23" s="72"/>
      <c r="J23" s="73" t="str">
        <f ca="1">IF(ISNUMBER(H23),REPT("|",H23*(50/uxb_settings!$B$21)),"")</f>
        <v>||||||||||||||||||||||||</v>
      </c>
    </row>
    <row r="24" spans="1:10" ht="13.5" customHeight="1">
      <c r="A24" s="64"/>
      <c r="B24" s="64"/>
      <c r="C24" s="67"/>
      <c r="D24" s="69"/>
      <c r="E24" s="61">
        <f ca="1">i_rank_i!N26</f>
        <v>2</v>
      </c>
      <c r="F24" s="70">
        <f ca="1">i_rank_i!O26</f>
        <v>20</v>
      </c>
      <c r="G24" s="71" t="str">
        <f ca="1">i_rank_i!P26</f>
        <v>Chile</v>
      </c>
      <c r="H24" s="72">
        <f ca="1">i_rank_i!Q26</f>
        <v>48</v>
      </c>
      <c r="I24" s="72"/>
      <c r="J24" s="73" t="str">
        <f ca="1">IF(ISNUMBER(H24),REPT("|",H24*(50/uxb_settings!$B$21)),"")</f>
        <v>||||||||||||||||||||||||</v>
      </c>
    </row>
    <row r="25" spans="1:10" ht="13.5" customHeight="1">
      <c r="A25" s="64"/>
      <c r="B25" s="64"/>
      <c r="C25" s="67"/>
      <c r="D25" s="69"/>
      <c r="E25" s="61">
        <f ca="1">i_rank_i!N27</f>
        <v>2</v>
      </c>
      <c r="F25" s="70">
        <f ca="1">i_rank_i!O27</f>
        <v>21</v>
      </c>
      <c r="G25" s="71" t="str">
        <f ca="1">i_rank_i!P27</f>
        <v>Mexico</v>
      </c>
      <c r="H25" s="72">
        <f ca="1">i_rank_i!Q27</f>
        <v>47.3</v>
      </c>
      <c r="I25" s="72"/>
      <c r="J25" s="73" t="str">
        <f ca="1">IF(ISNUMBER(H25),REPT("|",H25*(50/uxb_settings!$B$21)),"")</f>
        <v>|||||||||||||||||||||||</v>
      </c>
    </row>
    <row r="26" spans="1:10" ht="13.5" customHeight="1">
      <c r="A26" s="64"/>
      <c r="B26" s="64"/>
      <c r="C26" s="67"/>
      <c r="D26" s="69"/>
      <c r="E26" s="61">
        <f ca="1">i_rank_i!N28</f>
        <v>2</v>
      </c>
      <c r="F26" s="70">
        <f ca="1">i_rank_i!O28</f>
        <v>22</v>
      </c>
      <c r="G26" s="71" t="str">
        <f ca="1">i_rank_i!P28</f>
        <v>Dominican Republic</v>
      </c>
      <c r="H26" s="72">
        <f ca="1">i_rank_i!Q28</f>
        <v>47</v>
      </c>
      <c r="I26" s="72"/>
      <c r="J26" s="73" t="str">
        <f ca="1">IF(ISNUMBER(H26),REPT("|",H26*(50/uxb_settings!$B$21)),"")</f>
        <v>|||||||||||||||||||||||</v>
      </c>
    </row>
    <row r="27" spans="1:10" ht="13.5" customHeight="1">
      <c r="A27" s="64"/>
      <c r="B27" s="64"/>
      <c r="C27" s="67"/>
      <c r="D27" s="69"/>
      <c r="E27" s="61">
        <f ca="1">i_rank_i!N29</f>
        <v>2</v>
      </c>
      <c r="F27" s="70">
        <f ca="1">i_rank_i!O29</f>
        <v>23</v>
      </c>
      <c r="G27" s="71" t="str">
        <f ca="1">i_rank_i!P29</f>
        <v>Georgia</v>
      </c>
      <c r="H27" s="72">
        <f ca="1">i_rank_i!Q29</f>
        <v>45.1</v>
      </c>
      <c r="I27" s="72"/>
      <c r="J27" s="73" t="str">
        <f ca="1">IF(ISNUMBER(H27),REPT("|",H27*(50/uxb_settings!$B$21)),"")</f>
        <v>||||||||||||||||||||||</v>
      </c>
    </row>
    <row r="28" spans="1:10" ht="13.5" customHeight="1">
      <c r="A28" s="64"/>
      <c r="B28" s="64"/>
      <c r="C28" s="67"/>
      <c r="D28" s="69"/>
      <c r="E28" s="61">
        <f ca="1">i_rank_i!N30</f>
        <v>2</v>
      </c>
      <c r="F28" s="70">
        <f ca="1">i_rank_i!O30</f>
        <v>24</v>
      </c>
      <c r="G28" s="71" t="str">
        <f ca="1">i_rank_i!P30</f>
        <v>Brazil</v>
      </c>
      <c r="H28" s="72">
        <f ca="1">i_rank_i!Q30</f>
        <v>44</v>
      </c>
      <c r="I28" s="72"/>
      <c r="J28" s="73" t="str">
        <f ca="1">IF(ISNUMBER(H28),REPT("|",H28*(50/uxb_settings!$B$21)),"")</f>
        <v>||||||||||||||||||||||</v>
      </c>
    </row>
    <row r="29" spans="1:10" ht="13.5" customHeight="1">
      <c r="A29" s="64"/>
      <c r="B29" s="64"/>
      <c r="C29" s="67"/>
      <c r="D29" s="69"/>
      <c r="E29" s="61">
        <f ca="1">i_rank_i!N31</f>
        <v>2</v>
      </c>
      <c r="F29" s="70">
        <f ca="1">i_rank_i!O31</f>
        <v>25</v>
      </c>
      <c r="G29" s="71" t="str">
        <f ca="1">i_rank_i!P31</f>
        <v>Armenia</v>
      </c>
      <c r="H29" s="72">
        <f ca="1">i_rank_i!Q31</f>
        <v>43.9</v>
      </c>
      <c r="I29" s="72"/>
      <c r="J29" s="73" t="str">
        <f ca="1">IF(ISNUMBER(H29),REPT("|",H29*(50/uxb_settings!$B$21)),"")</f>
        <v>|||||||||||||||||||||</v>
      </c>
    </row>
    <row r="30" spans="1:10" ht="13.5" customHeight="1">
      <c r="A30" s="64"/>
      <c r="B30" s="64"/>
      <c r="C30" s="67"/>
      <c r="D30" s="69"/>
      <c r="E30" s="61">
        <f ca="1">i_rank_i!N32</f>
        <v>2</v>
      </c>
      <c r="F30" s="70">
        <f ca="1">i_rank_i!O32</f>
        <v>26</v>
      </c>
      <c r="G30" s="71" t="str">
        <f ca="1">i_rank_i!P32</f>
        <v>Bosnia</v>
      </c>
      <c r="H30" s="72">
        <f ca="1">i_rank_i!Q32</f>
        <v>43.1</v>
      </c>
      <c r="I30" s="72"/>
      <c r="J30" s="73" t="str">
        <f ca="1">IF(ISNUMBER(H30),REPT("|",H30*(50/uxb_settings!$B$21)),"")</f>
        <v>|||||||||||||||||||||</v>
      </c>
    </row>
    <row r="31" spans="1:10" ht="13.5" customHeight="1">
      <c r="A31" s="64"/>
      <c r="B31" s="64"/>
      <c r="C31" s="67"/>
      <c r="D31" s="69"/>
      <c r="E31" s="61">
        <f ca="1">i_rank_i!N33</f>
        <v>2</v>
      </c>
      <c r="F31" s="70">
        <f ca="1">i_rank_i!O33</f>
        <v>27</v>
      </c>
      <c r="G31" s="71" t="str">
        <f ca="1">i_rank_i!P33</f>
        <v>Bangladesh</v>
      </c>
      <c r="H31" s="72">
        <f ca="1">i_rank_i!Q33</f>
        <v>42.7</v>
      </c>
      <c r="I31" s="72"/>
      <c r="J31" s="73" t="str">
        <f ca="1">IF(ISNUMBER(H31),REPT("|",H31*(50/uxb_settings!$B$21)),"")</f>
        <v>|||||||||||||||||||||</v>
      </c>
    </row>
    <row r="32" spans="1:10" ht="13.5" customHeight="1">
      <c r="A32" s="64"/>
      <c r="B32" s="64"/>
      <c r="C32" s="67"/>
      <c r="D32" s="69"/>
      <c r="E32" s="61">
        <f ca="1">i_rank_i!N34</f>
        <v>2</v>
      </c>
      <c r="F32" s="70">
        <f ca="1">i_rank_i!O34</f>
        <v>28</v>
      </c>
      <c r="G32" s="71" t="str">
        <f ca="1">i_rank_i!P34</f>
        <v>Costa Rica</v>
      </c>
      <c r="H32" s="72">
        <f ca="1">i_rank_i!Q34</f>
        <v>42.5</v>
      </c>
      <c r="I32" s="72"/>
      <c r="J32" s="73" t="str">
        <f ca="1">IF(ISNUMBER(H32),REPT("|",H32*(50/uxb_settings!$B$21)),"")</f>
        <v>|||||||||||||||||||||</v>
      </c>
    </row>
    <row r="33" spans="1:10" ht="13.5" customHeight="1">
      <c r="A33" s="64"/>
      <c r="B33" s="64"/>
      <c r="C33" s="67"/>
      <c r="D33" s="69"/>
      <c r="E33" s="61">
        <f ca="1">i_rank_i!N35</f>
        <v>2</v>
      </c>
      <c r="F33" s="70">
        <f ca="1">i_rank_i!O35</f>
        <v>29</v>
      </c>
      <c r="G33" s="71" t="str">
        <f ca="1">i_rank_i!P35</f>
        <v>Yemen</v>
      </c>
      <c r="H33" s="72">
        <f ca="1">i_rank_i!Q35</f>
        <v>42.1</v>
      </c>
      <c r="I33" s="72"/>
      <c r="J33" s="73" t="str">
        <f ca="1">IF(ISNUMBER(H33),REPT("|",H33*(50/uxb_settings!$B$21)),"")</f>
        <v>|||||||||||||||||||||</v>
      </c>
    </row>
    <row r="34" spans="1:10" ht="13.5" customHeight="1">
      <c r="A34" s="64"/>
      <c r="B34" s="64"/>
      <c r="C34" s="67"/>
      <c r="D34" s="69"/>
      <c r="E34" s="61">
        <f ca="1">i_rank_i!N36</f>
        <v>2</v>
      </c>
      <c r="F34" s="70" t="str">
        <f ca="1">i_rank_i!O36</f>
        <v>=30</v>
      </c>
      <c r="G34" s="71" t="str">
        <f ca="1">i_rank_i!P36</f>
        <v>Sri Lanka</v>
      </c>
      <c r="H34" s="72">
        <f ca="1">i_rank_i!Q36</f>
        <v>40.4</v>
      </c>
      <c r="I34" s="72"/>
      <c r="J34" s="73" t="str">
        <f ca="1">IF(ISNUMBER(H34),REPT("|",H34*(50/uxb_settings!$B$21)),"")</f>
        <v>||||||||||||||||||||</v>
      </c>
    </row>
    <row r="35" spans="1:10" ht="13.5" customHeight="1">
      <c r="A35" s="64"/>
      <c r="B35" s="64"/>
      <c r="C35" s="67"/>
      <c r="D35" s="69"/>
      <c r="E35" s="61">
        <f ca="1">i_rank_i!N37</f>
        <v>2</v>
      </c>
      <c r="F35" s="70" t="str">
        <f ca="1">i_rank_i!O37</f>
        <v>=30</v>
      </c>
      <c r="G35" s="71" t="str">
        <f ca="1">i_rank_i!P37</f>
        <v>Tajikistan</v>
      </c>
      <c r="H35" s="72">
        <f ca="1">i_rank_i!Q37</f>
        <v>40.4</v>
      </c>
      <c r="I35" s="72"/>
      <c r="J35" s="73" t="str">
        <f ca="1">IF(ISNUMBER(H35),REPT("|",H35*(50/uxb_settings!$B$21)),"")</f>
        <v>||||||||||||||||||||</v>
      </c>
    </row>
    <row r="36" spans="1:10" ht="13.5" customHeight="1">
      <c r="A36" s="64"/>
      <c r="B36" s="64"/>
      <c r="C36" s="67"/>
      <c r="D36" s="69"/>
      <c r="E36" s="61">
        <f ca="1">i_rank_i!N38</f>
        <v>2</v>
      </c>
      <c r="F36" s="70">
        <f ca="1">i_rank_i!O38</f>
        <v>32</v>
      </c>
      <c r="G36" s="71" t="str">
        <f ca="1">i_rank_i!P38</f>
        <v>Mozambique</v>
      </c>
      <c r="H36" s="72">
        <f ca="1">i_rank_i!Q38</f>
        <v>40.299999999999997</v>
      </c>
      <c r="I36" s="72"/>
      <c r="J36" s="73" t="str">
        <f ca="1">IF(ISNUMBER(H36),REPT("|",H36*(50/uxb_settings!$B$21)),"")</f>
        <v>||||||||||||||||||||</v>
      </c>
    </row>
    <row r="37" spans="1:10" ht="13.5" customHeight="1">
      <c r="A37" s="64"/>
      <c r="B37" s="64"/>
      <c r="C37" s="67"/>
      <c r="D37" s="69"/>
      <c r="E37" s="61">
        <f ca="1">i_rank_i!N39</f>
        <v>2</v>
      </c>
      <c r="F37" s="70">
        <f ca="1">i_rank_i!O39</f>
        <v>33</v>
      </c>
      <c r="G37" s="71" t="str">
        <f ca="1">i_rank_i!P39</f>
        <v>Nigeria</v>
      </c>
      <c r="H37" s="72">
        <f ca="1">i_rank_i!Q39</f>
        <v>39.4</v>
      </c>
      <c r="I37" s="72"/>
      <c r="J37" s="73" t="str">
        <f ca="1">IF(ISNUMBER(H37),REPT("|",H37*(50/uxb_settings!$B$21)),"")</f>
        <v>|||||||||||||||||||</v>
      </c>
    </row>
    <row r="38" spans="1:10" ht="13.5" customHeight="1">
      <c r="A38" s="64"/>
      <c r="B38" s="64"/>
      <c r="C38" s="67"/>
      <c r="D38" s="69"/>
      <c r="E38" s="61">
        <f ca="1">i_rank_i!N40</f>
        <v>2</v>
      </c>
      <c r="F38" s="70">
        <f ca="1">i_rank_i!O40</f>
        <v>34</v>
      </c>
      <c r="G38" s="71" t="str">
        <f ca="1">i_rank_i!P40</f>
        <v>Rwanda</v>
      </c>
      <c r="H38" s="72">
        <f ca="1">i_rank_i!Q40</f>
        <v>38.6</v>
      </c>
      <c r="I38" s="72"/>
      <c r="J38" s="73" t="str">
        <f ca="1">IF(ISNUMBER(H38),REPT("|",H38*(50/uxb_settings!$B$21)),"")</f>
        <v>|||||||||||||||||||</v>
      </c>
    </row>
    <row r="39" spans="1:10" ht="13.5" customHeight="1">
      <c r="A39" s="64"/>
      <c r="B39" s="64"/>
      <c r="C39" s="67"/>
      <c r="D39" s="69"/>
      <c r="E39" s="61">
        <f ca="1">i_rank_i!N41</f>
        <v>2</v>
      </c>
      <c r="F39" s="70">
        <f ca="1">i_rank_i!O41</f>
        <v>35</v>
      </c>
      <c r="G39" s="71" t="str">
        <f ca="1">i_rank_i!P41</f>
        <v>DRC</v>
      </c>
      <c r="H39" s="72">
        <f ca="1">i_rank_i!Q41</f>
        <v>36.799999999999997</v>
      </c>
      <c r="I39" s="72"/>
      <c r="J39" s="73" t="str">
        <f ca="1">IF(ISNUMBER(H39),REPT("|",H39*(50/uxb_settings!$B$21)),"")</f>
        <v>||||||||||||||||||</v>
      </c>
    </row>
    <row r="40" spans="1:10" ht="13.5" customHeight="1">
      <c r="A40" s="64"/>
      <c r="B40" s="64"/>
      <c r="C40" s="67"/>
      <c r="D40" s="69"/>
      <c r="E40" s="61">
        <f ca="1">i_rank_i!N42</f>
        <v>2</v>
      </c>
      <c r="F40" s="70">
        <f ca="1">i_rank_i!O42</f>
        <v>36</v>
      </c>
      <c r="G40" s="71" t="str">
        <f ca="1">i_rank_i!P42</f>
        <v>Indonesia</v>
      </c>
      <c r="H40" s="72">
        <f ca="1">i_rank_i!Q42</f>
        <v>35.200000000000003</v>
      </c>
      <c r="I40" s="72"/>
      <c r="J40" s="73" t="str">
        <f ca="1">IF(ISNUMBER(H40),REPT("|",H40*(50/uxb_settings!$B$21)),"")</f>
        <v>|||||||||||||||||</v>
      </c>
    </row>
    <row r="41" spans="1:10" ht="13.5" customHeight="1">
      <c r="A41" s="64"/>
      <c r="B41" s="64"/>
      <c r="C41" s="67"/>
      <c r="D41" s="69"/>
      <c r="E41" s="61">
        <f ca="1">i_rank_i!N43</f>
        <v>2</v>
      </c>
      <c r="F41" s="70">
        <f ca="1">i_rank_i!O43</f>
        <v>37</v>
      </c>
      <c r="G41" s="71" t="str">
        <f ca="1">i_rank_i!P43</f>
        <v>China</v>
      </c>
      <c r="H41" s="72">
        <f ca="1">i_rank_i!Q43</f>
        <v>34.1</v>
      </c>
      <c r="I41" s="72"/>
      <c r="J41" s="73" t="str">
        <f ca="1">IF(ISNUMBER(H41),REPT("|",H41*(50/uxb_settings!$B$21)),"")</f>
        <v>|||||||||||||||||</v>
      </c>
    </row>
    <row r="42" spans="1:10" ht="13.5" customHeight="1">
      <c r="A42" s="64"/>
      <c r="B42" s="64"/>
      <c r="C42" s="67"/>
      <c r="D42" s="69"/>
      <c r="E42" s="61">
        <f ca="1">i_rank_i!N44</f>
        <v>2</v>
      </c>
      <c r="F42" s="70">
        <f ca="1">i_rank_i!O44</f>
        <v>38</v>
      </c>
      <c r="G42" s="71" t="str">
        <f ca="1">i_rank_i!P44</f>
        <v>Haiti</v>
      </c>
      <c r="H42" s="72">
        <f ca="1">i_rank_i!Q44</f>
        <v>33.4</v>
      </c>
      <c r="I42" s="72"/>
      <c r="J42" s="73" t="str">
        <f ca="1">IF(ISNUMBER(H42),REPT("|",H42*(50/uxb_settings!$B$21)),"")</f>
        <v>||||||||||||||||</v>
      </c>
    </row>
    <row r="43" spans="1:10" ht="13.5" customHeight="1">
      <c r="A43" s="64"/>
      <c r="B43" s="64"/>
      <c r="C43" s="67"/>
      <c r="D43" s="69"/>
      <c r="E43" s="61">
        <f ca="1">i_rank_i!N45</f>
        <v>2</v>
      </c>
      <c r="F43" s="70">
        <f ca="1">i_rank_i!O45</f>
        <v>39</v>
      </c>
      <c r="G43" s="71" t="str">
        <f ca="1">i_rank_i!P45</f>
        <v>Senegal</v>
      </c>
      <c r="H43" s="72">
        <f ca="1">i_rank_i!Q45</f>
        <v>32.6</v>
      </c>
      <c r="I43" s="72"/>
      <c r="J43" s="73" t="str">
        <f ca="1">IF(ISNUMBER(H43),REPT("|",H43*(50/uxb_settings!$B$21)),"")</f>
        <v>||||||||||||||||</v>
      </c>
    </row>
    <row r="44" spans="1:10" ht="13.5" customHeight="1">
      <c r="A44" s="64"/>
      <c r="B44" s="64"/>
      <c r="C44" s="67"/>
      <c r="D44" s="69"/>
      <c r="E44" s="61">
        <f ca="1">i_rank_i!N46</f>
        <v>2</v>
      </c>
      <c r="F44" s="70">
        <f ca="1">i_rank_i!O46</f>
        <v>40</v>
      </c>
      <c r="G44" s="71" t="str">
        <f ca="1">i_rank_i!P46</f>
        <v>Madagascar</v>
      </c>
      <c r="H44" s="72">
        <f ca="1">i_rank_i!Q46</f>
        <v>32.299999999999997</v>
      </c>
      <c r="I44" s="72"/>
      <c r="J44" s="73" t="str">
        <f ca="1">IF(ISNUMBER(H44),REPT("|",H44*(50/uxb_settings!$B$21)),"")</f>
        <v>||||||||||||||||</v>
      </c>
    </row>
    <row r="45" spans="1:10" ht="13.5" customHeight="1">
      <c r="A45" s="64"/>
      <c r="B45" s="64"/>
      <c r="C45" s="67"/>
      <c r="D45" s="69"/>
      <c r="E45" s="61">
        <f ca="1">i_rank_i!N47</f>
        <v>2</v>
      </c>
      <c r="F45" s="70">
        <f ca="1">i_rank_i!O47</f>
        <v>41</v>
      </c>
      <c r="G45" s="71" t="str">
        <f ca="1">i_rank_i!P47</f>
        <v>Cameroon</v>
      </c>
      <c r="H45" s="72">
        <f ca="1">i_rank_i!Q47</f>
        <v>31.6</v>
      </c>
      <c r="I45" s="72"/>
      <c r="J45" s="73" t="str">
        <f ca="1">IF(ISNUMBER(H45),REPT("|",H45*(50/uxb_settings!$B$21)),"")</f>
        <v>|||||||||||||||</v>
      </c>
    </row>
    <row r="46" spans="1:10" ht="15.75">
      <c r="A46" s="64"/>
      <c r="B46" s="64"/>
      <c r="C46" s="67"/>
      <c r="D46" s="69"/>
      <c r="E46" s="61">
        <f ca="1">i_rank_i!N48</f>
        <v>2</v>
      </c>
      <c r="F46" s="70">
        <f ca="1">i_rank_i!O48</f>
        <v>42</v>
      </c>
      <c r="G46" s="71" t="str">
        <f ca="1">i_rank_i!P48</f>
        <v>Ethiopia</v>
      </c>
      <c r="H46" s="72">
        <f ca="1">i_rank_i!Q48</f>
        <v>31.3</v>
      </c>
      <c r="I46" s="72"/>
      <c r="J46" s="73" t="str">
        <f ca="1">IF(ISNUMBER(H46),REPT("|",H46*(50/uxb_settings!$B$21)),"")</f>
        <v>|||||||||||||||</v>
      </c>
    </row>
    <row r="47" spans="1:10" ht="15.75">
      <c r="A47" s="64"/>
      <c r="B47" s="64"/>
      <c r="C47" s="67"/>
      <c r="D47" s="69"/>
      <c r="E47" s="61">
        <f ca="1">i_rank_i!N49</f>
        <v>2</v>
      </c>
      <c r="F47" s="70">
        <f ca="1">i_rank_i!O49</f>
        <v>43</v>
      </c>
      <c r="G47" s="71" t="str">
        <f ca="1">i_rank_i!P49</f>
        <v>Argentina</v>
      </c>
      <c r="H47" s="72">
        <f ca="1">i_rank_i!Q49</f>
        <v>30.8</v>
      </c>
      <c r="I47" s="72"/>
      <c r="J47" s="73" t="str">
        <f ca="1">IF(ISNUMBER(H47),REPT("|",H47*(50/uxb_settings!$B$21)),"")</f>
        <v>|||||||||||||||</v>
      </c>
    </row>
    <row r="48" spans="1:10" ht="15.75">
      <c r="A48" s="64"/>
      <c r="B48" s="64"/>
      <c r="C48" s="67"/>
      <c r="D48" s="69"/>
      <c r="E48" s="61">
        <f ca="1">i_rank_i!N50</f>
        <v>2</v>
      </c>
      <c r="F48" s="70" t="str">
        <f ca="1">i_rank_i!O50</f>
        <v>=44</v>
      </c>
      <c r="G48" s="71" t="str">
        <f ca="1">i_rank_i!P50</f>
        <v>Morocco</v>
      </c>
      <c r="H48" s="72">
        <f ca="1">i_rank_i!Q50</f>
        <v>30.3</v>
      </c>
      <c r="I48" s="72"/>
      <c r="J48" s="73" t="str">
        <f ca="1">IF(ISNUMBER(H48),REPT("|",H48*(50/uxb_settings!$B$21)),"")</f>
        <v>|||||||||||||||</v>
      </c>
    </row>
    <row r="49" spans="1:10" ht="15.75">
      <c r="A49" s="64"/>
      <c r="B49" s="64"/>
      <c r="C49" s="67"/>
      <c r="D49" s="69"/>
      <c r="E49" s="61">
        <f ca="1">i_rank_i!N51</f>
        <v>2</v>
      </c>
      <c r="F49" s="70" t="str">
        <f ca="1">i_rank_i!O51</f>
        <v>=44</v>
      </c>
      <c r="G49" s="71" t="str">
        <f ca="1">i_rank_i!P51</f>
        <v>Turkey</v>
      </c>
      <c r="H49" s="72">
        <f ca="1">i_rank_i!Q51</f>
        <v>30.3</v>
      </c>
      <c r="I49" s="72"/>
      <c r="J49" s="73" t="str">
        <f ca="1">IF(ISNUMBER(H49),REPT("|",H49*(50/uxb_settings!$B$21)),"")</f>
        <v>|||||||||||||||</v>
      </c>
    </row>
    <row r="50" spans="1:10" ht="15.75">
      <c r="A50" s="64"/>
      <c r="B50" s="64"/>
      <c r="C50" s="67"/>
      <c r="D50" s="69"/>
      <c r="E50" s="61">
        <f ca="1">i_rank_i!N52</f>
        <v>2</v>
      </c>
      <c r="F50" s="70" t="str">
        <f ca="1">i_rank_i!O52</f>
        <v>=46</v>
      </c>
      <c r="G50" s="71" t="str">
        <f ca="1">i_rank_i!P52</f>
        <v>Mongolia</v>
      </c>
      <c r="H50" s="72">
        <f ca="1">i_rank_i!Q52</f>
        <v>30</v>
      </c>
      <c r="I50" s="72"/>
      <c r="J50" s="73" t="str">
        <f ca="1">IF(ISNUMBER(H50),REPT("|",H50*(50/uxb_settings!$B$21)),"")</f>
        <v>|||||||||||||||</v>
      </c>
    </row>
    <row r="51" spans="1:10" ht="15.75">
      <c r="A51" s="64"/>
      <c r="B51" s="64"/>
      <c r="C51" s="67"/>
      <c r="D51" s="69"/>
      <c r="E51" s="61">
        <f ca="1">i_rank_i!N53</f>
        <v>2</v>
      </c>
      <c r="F51" s="70" t="str">
        <f ca="1">i_rank_i!O53</f>
        <v>=46</v>
      </c>
      <c r="G51" s="71" t="str">
        <f ca="1">i_rank_i!P53</f>
        <v>Nepal</v>
      </c>
      <c r="H51" s="72">
        <f ca="1">i_rank_i!Q53</f>
        <v>30</v>
      </c>
      <c r="I51" s="72"/>
      <c r="J51" s="73" t="str">
        <f ca="1">IF(ISNUMBER(H51),REPT("|",H51*(50/uxb_settings!$B$21)),"")</f>
        <v>|||||||||||||||</v>
      </c>
    </row>
    <row r="52" spans="1:10" ht="15.75">
      <c r="A52" s="64"/>
      <c r="B52" s="64"/>
      <c r="C52" s="67"/>
      <c r="D52" s="69"/>
      <c r="E52" s="61">
        <f ca="1">i_rank_i!N54</f>
        <v>2</v>
      </c>
      <c r="F52" s="70">
        <f ca="1">i_rank_i!O54</f>
        <v>48</v>
      </c>
      <c r="G52" s="71" t="str">
        <f ca="1">i_rank_i!P54</f>
        <v>Lebanon</v>
      </c>
      <c r="H52" s="72">
        <f ca="1">i_rank_i!Q54</f>
        <v>29.3</v>
      </c>
      <c r="I52" s="72"/>
      <c r="J52" s="73" t="str">
        <f ca="1">IF(ISNUMBER(H52),REPT("|",H52*(50/uxb_settings!$B$21)),"")</f>
        <v>||||||||||||||</v>
      </c>
    </row>
    <row r="53" spans="1:10" ht="15.75">
      <c r="A53" s="64"/>
      <c r="B53" s="64"/>
      <c r="C53" s="67"/>
      <c r="D53" s="69"/>
      <c r="E53" s="61">
        <f ca="1">i_rank_i!N55</f>
        <v>2</v>
      </c>
      <c r="F53" s="70">
        <f ca="1">i_rank_i!O55</f>
        <v>49</v>
      </c>
      <c r="G53" s="71" t="str">
        <f ca="1">i_rank_i!P55</f>
        <v>Azerbaijan</v>
      </c>
      <c r="H53" s="72">
        <f ca="1">i_rank_i!Q55</f>
        <v>29</v>
      </c>
      <c r="I53" s="72"/>
      <c r="J53" s="73" t="str">
        <f ca="1">IF(ISNUMBER(H53),REPT("|",H53*(50/uxb_settings!$B$21)),"")</f>
        <v>||||||||||||||</v>
      </c>
    </row>
    <row r="54" spans="1:10" ht="15.75">
      <c r="A54" s="64"/>
      <c r="B54" s="64"/>
      <c r="C54" s="67"/>
      <c r="D54" s="69"/>
      <c r="E54" s="61">
        <f ca="1">i_rank_i!N56</f>
        <v>2</v>
      </c>
      <c r="F54" s="70">
        <f ca="1">i_rank_i!O56</f>
        <v>50</v>
      </c>
      <c r="G54" s="71" t="str">
        <f ca="1">i_rank_i!P56</f>
        <v>Uruguay</v>
      </c>
      <c r="H54" s="72">
        <f ca="1">i_rank_i!Q56</f>
        <v>28.4</v>
      </c>
      <c r="I54" s="72"/>
      <c r="J54" s="73" t="str">
        <f ca="1">IF(ISNUMBER(H54),REPT("|",H54*(50/uxb_settings!$B$21)),"")</f>
        <v>||||||||||||||</v>
      </c>
    </row>
    <row r="55" spans="1:10" ht="15.75">
      <c r="A55" s="64"/>
      <c r="B55" s="64"/>
      <c r="C55" s="67"/>
      <c r="D55" s="69"/>
      <c r="E55" s="61">
        <f ca="1">i_rank_i!N57</f>
        <v>2</v>
      </c>
      <c r="F55" s="70">
        <f ca="1">i_rank_i!O57</f>
        <v>51</v>
      </c>
      <c r="G55" s="71" t="str">
        <f ca="1">i_rank_i!P57</f>
        <v>Venezuela</v>
      </c>
      <c r="H55" s="72">
        <f ca="1">i_rank_i!Q57</f>
        <v>24.1</v>
      </c>
      <c r="I55" s="72"/>
      <c r="J55" s="73" t="str">
        <f ca="1">IF(ISNUMBER(H55),REPT("|",H55*(50/uxb_settings!$B$21)),"")</f>
        <v>||||||||||||</v>
      </c>
    </row>
    <row r="56" spans="1:10" ht="15.75">
      <c r="A56" s="64"/>
      <c r="B56" s="64"/>
      <c r="C56" s="67"/>
      <c r="D56" s="69"/>
      <c r="E56" s="61">
        <f ca="1">i_rank_i!N58</f>
        <v>2</v>
      </c>
      <c r="F56" s="70">
        <f ca="1">i_rank_i!O58</f>
        <v>52</v>
      </c>
      <c r="G56" s="71" t="str">
        <f ca="1">i_rank_i!P58</f>
        <v>Jamaica</v>
      </c>
      <c r="H56" s="72">
        <f ca="1">i_rank_i!Q58</f>
        <v>23.7</v>
      </c>
      <c r="I56" s="72"/>
      <c r="J56" s="73" t="str">
        <f ca="1">IF(ISNUMBER(H56),REPT("|",H56*(50/uxb_settings!$B$21)),"")</f>
        <v>|||||||||||</v>
      </c>
    </row>
    <row r="57" spans="1:10" ht="15.75">
      <c r="A57" s="64"/>
      <c r="B57" s="64"/>
      <c r="C57" s="67"/>
      <c r="D57" s="69"/>
      <c r="E57" s="61">
        <f ca="1">i_rank_i!N59</f>
        <v>2</v>
      </c>
      <c r="F57" s="70">
        <f ca="1">i_rank_i!O59</f>
        <v>53</v>
      </c>
      <c r="G57" s="71" t="str">
        <f ca="1">i_rank_i!P59</f>
        <v>Trinidad and Tobago</v>
      </c>
      <c r="H57" s="72">
        <f ca="1">i_rank_i!Q59</f>
        <v>22.9</v>
      </c>
      <c r="I57" s="72"/>
      <c r="J57" s="73" t="str">
        <f ca="1">IF(ISNUMBER(H57),REPT("|",H57*(50/uxb_settings!$B$21)),"")</f>
        <v>|||||||||||</v>
      </c>
    </row>
    <row r="58" spans="1:10" ht="15.75">
      <c r="A58" s="64"/>
      <c r="B58" s="64"/>
      <c r="C58" s="67"/>
      <c r="D58" s="69"/>
      <c r="E58" s="61">
        <f ca="1">i_rank_i!N60</f>
        <v>2</v>
      </c>
      <c r="F58" s="70">
        <f ca="1">i_rank_i!O60</f>
        <v>54</v>
      </c>
      <c r="G58" s="71" t="str">
        <f ca="1">i_rank_i!P60</f>
        <v>Vietnam</v>
      </c>
      <c r="H58" s="72">
        <f ca="1">i_rank_i!Q60</f>
        <v>21.6</v>
      </c>
      <c r="I58" s="72"/>
      <c r="J58" s="73" t="str">
        <f ca="1">IF(ISNUMBER(H58),REPT("|",H58*(50/uxb_settings!$B$21)),"")</f>
        <v>||||||||||</v>
      </c>
    </row>
    <row r="59" spans="1:10" ht="15.75">
      <c r="A59" s="64"/>
      <c r="B59" s="64"/>
      <c r="C59" s="67"/>
      <c r="D59" s="69"/>
      <c r="E59" s="61">
        <f ca="1">i_rank_i!N61</f>
        <v>2</v>
      </c>
      <c r="F59" s="70">
        <f ca="1">i_rank_i!O61</f>
        <v>55</v>
      </c>
      <c r="G59" s="71" t="str">
        <f ca="1">i_rank_i!P61</f>
        <v>Thailand</v>
      </c>
      <c r="H59" s="72">
        <f ca="1">i_rank_i!Q61</f>
        <v>21.2</v>
      </c>
      <c r="I59" s="72"/>
      <c r="J59" s="73" t="str">
        <f ca="1">IF(ISNUMBER(H59),REPT("|",H59*(50/uxb_settings!$B$21)),"")</f>
        <v>||||||||||</v>
      </c>
    </row>
    <row r="60" spans="1:10" ht="15.75">
      <c r="A60" s="64"/>
      <c r="B60" s="64"/>
      <c r="C60" s="67"/>
      <c r="D60" s="69"/>
      <c r="E60" s="61">
        <f ca="1">i_rank_i!N62</f>
        <v>0</v>
      </c>
      <c r="F60" s="70" t="str">
        <f ca="1">i_rank_i!O62</f>
        <v/>
      </c>
      <c r="G60" s="71" t="str">
        <f ca="1">i_rank_i!P62</f>
        <v/>
      </c>
      <c r="H60" s="72" t="str">
        <f ca="1">i_rank_i!Q62</f>
        <v/>
      </c>
      <c r="I60" s="72"/>
      <c r="J60" s="73" t="str">
        <f ca="1">IF(ISNUMBER(H60),REPT("|",H60*(50/uxb_settings!$B$21)),"")</f>
        <v/>
      </c>
    </row>
    <row r="61" spans="1:10" ht="15.75">
      <c r="A61" s="64"/>
      <c r="B61" s="64"/>
      <c r="C61" s="67"/>
      <c r="D61" s="69"/>
      <c r="E61" s="61">
        <f ca="1">i_rank_i!N63</f>
        <v>0</v>
      </c>
      <c r="F61" s="70" t="str">
        <f ca="1">i_rank_i!O63</f>
        <v/>
      </c>
      <c r="G61" s="71" t="str">
        <f ca="1">i_rank_i!P63</f>
        <v/>
      </c>
      <c r="H61" s="72" t="str">
        <f ca="1">i_rank_i!Q63</f>
        <v/>
      </c>
      <c r="I61" s="72"/>
      <c r="J61" s="73" t="str">
        <f ca="1">IF(ISNUMBER(H61),REPT("|",H61*(50/uxb_settings!$B$21)),"")</f>
        <v/>
      </c>
    </row>
    <row r="62" spans="1:10" ht="15.75">
      <c r="A62" s="64"/>
      <c r="B62" s="64"/>
      <c r="C62" s="67"/>
      <c r="D62" s="69"/>
      <c r="E62" s="61">
        <f ca="1">i_rank_i!N64</f>
        <v>0</v>
      </c>
      <c r="F62" s="70" t="str">
        <f ca="1">i_rank_i!O64</f>
        <v/>
      </c>
      <c r="G62" s="71" t="str">
        <f ca="1">i_rank_i!P64</f>
        <v/>
      </c>
      <c r="H62" s="72" t="str">
        <f ca="1">i_rank_i!Q64</f>
        <v/>
      </c>
      <c r="I62" s="72"/>
      <c r="J62" s="73" t="str">
        <f ca="1">IF(ISNUMBER(H62),REPT("|",H62*(50/uxb_settings!$B$21)),"")</f>
        <v/>
      </c>
    </row>
    <row r="63" spans="1:10" ht="15.75">
      <c r="A63" s="64"/>
      <c r="B63" s="64"/>
      <c r="C63" s="67"/>
      <c r="D63" s="69"/>
      <c r="E63" s="61">
        <f ca="1">i_rank_i!N65</f>
        <v>0</v>
      </c>
      <c r="F63" s="70" t="str">
        <f ca="1">i_rank_i!O65</f>
        <v/>
      </c>
      <c r="G63" s="71" t="str">
        <f ca="1">i_rank_i!P65</f>
        <v/>
      </c>
      <c r="H63" s="72" t="str">
        <f ca="1">i_rank_i!Q65</f>
        <v/>
      </c>
      <c r="I63" s="72"/>
      <c r="J63" s="73" t="str">
        <f ca="1">IF(ISNUMBER(H63),REPT("|",H63*(50/uxb_settings!$B$21)),"")</f>
        <v/>
      </c>
    </row>
    <row r="64" spans="1:10" ht="15.75">
      <c r="A64" s="64"/>
      <c r="B64" s="64"/>
      <c r="C64" s="67"/>
      <c r="D64" s="69"/>
      <c r="E64" s="61">
        <f ca="1">i_rank_i!N66</f>
        <v>0</v>
      </c>
      <c r="F64" s="70" t="str">
        <f ca="1">i_rank_i!O66</f>
        <v/>
      </c>
      <c r="G64" s="71" t="str">
        <f ca="1">i_rank_i!P66</f>
        <v/>
      </c>
      <c r="H64" s="72" t="str">
        <f ca="1">i_rank_i!Q66</f>
        <v/>
      </c>
      <c r="I64" s="72"/>
      <c r="J64" s="73" t="str">
        <f ca="1">IF(ISNUMBER(H64),REPT("|",H64*(50/uxb_settings!$B$21)),"")</f>
        <v/>
      </c>
    </row>
    <row r="65" spans="1:10" ht="15.75">
      <c r="A65" s="64"/>
      <c r="B65" s="64"/>
      <c r="C65" s="67"/>
      <c r="D65" s="69"/>
      <c r="E65" s="61">
        <f ca="1">i_rank_i!N67</f>
        <v>0</v>
      </c>
      <c r="F65" s="70" t="str">
        <f ca="1">i_rank_i!O67</f>
        <v/>
      </c>
      <c r="G65" s="71" t="str">
        <f ca="1">i_rank_i!P67</f>
        <v/>
      </c>
      <c r="H65" s="72" t="str">
        <f ca="1">i_rank_i!Q67</f>
        <v/>
      </c>
      <c r="I65" s="72"/>
      <c r="J65" s="73" t="str">
        <f ca="1">IF(ISNUMBER(H65),REPT("|",H65*(50/uxb_settings!$B$21)),"")</f>
        <v/>
      </c>
    </row>
    <row r="66" spans="1:10" ht="15.75">
      <c r="A66" s="64"/>
      <c r="B66" s="64"/>
      <c r="C66" s="67"/>
      <c r="D66" s="69"/>
      <c r="E66" s="61">
        <f ca="1">i_rank_i!N68</f>
        <v>0</v>
      </c>
      <c r="F66" s="70" t="str">
        <f ca="1">i_rank_i!O68</f>
        <v/>
      </c>
      <c r="G66" s="71" t="str">
        <f ca="1">i_rank_i!P68</f>
        <v/>
      </c>
      <c r="H66" s="72" t="str">
        <f ca="1">i_rank_i!Q68</f>
        <v/>
      </c>
      <c r="I66" s="72"/>
      <c r="J66" s="73" t="str">
        <f ca="1">IF(ISNUMBER(H66),REPT("|",H66*(50/uxb_settings!$B$21)),"")</f>
        <v/>
      </c>
    </row>
    <row r="67" spans="1:10" ht="15.75">
      <c r="A67" s="74"/>
      <c r="B67" s="74"/>
      <c r="C67" s="75"/>
      <c r="D67" s="69"/>
      <c r="E67" s="61">
        <f ca="1">i_rank_i!N69</f>
        <v>0</v>
      </c>
      <c r="F67" s="70" t="str">
        <f ca="1">i_rank_i!O69</f>
        <v/>
      </c>
      <c r="G67" s="71" t="str">
        <f ca="1">i_rank_i!P69</f>
        <v/>
      </c>
      <c r="H67" s="72" t="str">
        <f ca="1">i_rank_i!Q69</f>
        <v/>
      </c>
      <c r="I67" s="72"/>
      <c r="J67" s="73" t="str">
        <f ca="1">IF(ISNUMBER(H67),REPT("|",H67*(50/uxb_settings!$B$21)),"")</f>
        <v/>
      </c>
    </row>
  </sheetData>
  <sheetProtection password="B7E9" sheet="1" objects="1" scenarios="1" selectLockedCells="1" selectUnlockedCells="1"/>
  <phoneticPr fontId="10" type="noConversion"/>
  <conditionalFormatting sqref="F5:J67">
    <cfRule type="expression" dxfId="25" priority="1" stopIfTrue="1">
      <formula>$E5=3</formula>
    </cfRule>
    <cfRule type="expression" dxfId="24" priority="2" stopIfTrue="1">
      <formula>$E5=1</formula>
    </cfRule>
    <cfRule type="expression" dxfId="23" priority="3" stopIfTrue="1">
      <formula>$E5=0</formula>
    </cfRule>
  </conditionalFormatting>
  <pageMargins left="0.7" right="0.7" top="0.75" bottom="0.75" header="0.3" footer="0.3"/>
  <pageSetup paperSize="9" orientation="portrait" r:id="rId1"/>
  <ignoredErrors>
    <ignoredError sqref="F5:J37 F38:J67" unlockedFormula="1"/>
  </ignoredErrors>
  <legacyDrawing r:id="rId2"/>
</worksheet>
</file>

<file path=xl/worksheets/sheet16.xml><?xml version="1.0" encoding="utf-8"?>
<worksheet xmlns="http://schemas.openxmlformats.org/spreadsheetml/2006/main" xmlns:r="http://schemas.openxmlformats.org/officeDocument/2006/relationships">
  <sheetPr codeName="Sheet3"/>
  <dimension ref="A1:AM73"/>
  <sheetViews>
    <sheetView zoomScale="80" zoomScaleNormal="80" workbookViewId="0">
      <selection activeCell="AF64" sqref="AF64"/>
    </sheetView>
  </sheetViews>
  <sheetFormatPr defaultRowHeight="12.75"/>
  <sheetData>
    <row r="1" spans="1:10">
      <c r="A1" s="4" t="s">
        <v>946</v>
      </c>
      <c r="B1">
        <f ca="1">uxb_settings!B17</f>
        <v>3</v>
      </c>
    </row>
    <row r="15" spans="1:10">
      <c r="E15" s="1" t="s">
        <v>948</v>
      </c>
    </row>
    <row r="16" spans="1:10">
      <c r="E16" s="1">
        <v>0</v>
      </c>
      <c r="F16" s="1">
        <v>1</v>
      </c>
      <c r="G16" s="1">
        <v>2</v>
      </c>
      <c r="H16" s="1">
        <v>3</v>
      </c>
      <c r="I16" s="1">
        <v>4</v>
      </c>
      <c r="J16" s="1">
        <v>5</v>
      </c>
    </row>
    <row r="17" spans="1:39">
      <c r="A17" s="21" t="s">
        <v>727</v>
      </c>
      <c r="B17" s="21" t="s">
        <v>867</v>
      </c>
      <c r="C17" s="21" t="s">
        <v>947</v>
      </c>
    </row>
    <row r="18" spans="1:39">
      <c r="A18">
        <v>1</v>
      </c>
      <c r="B18">
        <f ca="1">tblCountries!H3</f>
        <v>2</v>
      </c>
      <c r="C18">
        <f t="shared" ref="C18:C49" ca="1" si="0">INDEX(indi_data,$B$1,A18)</f>
        <v>1</v>
      </c>
      <c r="E18">
        <f t="shared" ref="E18:I27" ca="1" si="1">IF($B18=0,1000,IF(AND($C18&gt;=E$16,$C18&lt;F$16),$A18,1000))</f>
        <v>1000</v>
      </c>
      <c r="F18">
        <f t="shared" ca="1" si="1"/>
        <v>1</v>
      </c>
      <c r="G18">
        <f t="shared" ca="1" si="1"/>
        <v>1000</v>
      </c>
      <c r="H18">
        <f t="shared" ca="1" si="1"/>
        <v>1000</v>
      </c>
      <c r="I18">
        <f t="shared" ca="1" si="1"/>
        <v>1000</v>
      </c>
      <c r="K18">
        <f ca="1">RANK(E18,E$18:E$72,-1)+COUNTIF(E$18:E18,E18)-1</f>
        <v>1</v>
      </c>
      <c r="L18">
        <f ca="1">RANK(F18,F$18:F$72,-1)+COUNTIF(F$18:F18,F18)-1</f>
        <v>1</v>
      </c>
      <c r="M18">
        <f ca="1">RANK(G18,G$18:G$72,-1)+COUNTIF(G$18:G18,G18)-1</f>
        <v>27</v>
      </c>
      <c r="N18">
        <f ca="1">RANK(H18,H$18:H$72,-1)+COUNTIF(H$18:H18,H18)-1</f>
        <v>20</v>
      </c>
      <c r="O18">
        <f ca="1">RANK(I18,I$18:I$72,-1)+COUNTIF(I$18:I18,I18)-1</f>
        <v>5</v>
      </c>
      <c r="Q18">
        <f ca="1">MATCH($A18,K$18:K$72,0)</f>
        <v>1</v>
      </c>
      <c r="R18">
        <f ca="1">MATCH($A18,L$18:L$72,0)</f>
        <v>1</v>
      </c>
      <c r="S18">
        <f ca="1">MATCH($A18,M$18:M$72,0)</f>
        <v>4</v>
      </c>
      <c r="T18">
        <f ca="1">MATCH($A18,N$18:N$72,0)</f>
        <v>2</v>
      </c>
      <c r="U18">
        <f ca="1">MATCH($A18,O$18:O$72,0)</f>
        <v>8</v>
      </c>
      <c r="W18">
        <f ca="1">INDEX(E$18:E$72,Q18)</f>
        <v>1000</v>
      </c>
      <c r="X18">
        <f ca="1">INDEX(F$18:F$72,R18)</f>
        <v>1</v>
      </c>
      <c r="Y18">
        <f ca="1">INDEX(G$18:G$72,S18)</f>
        <v>4</v>
      </c>
      <c r="Z18">
        <f ca="1">INDEX(H$18:H$72,T18)</f>
        <v>2</v>
      </c>
      <c r="AA18">
        <f ca="1">INDEX(I$18:I$72,U18)</f>
        <v>8</v>
      </c>
      <c r="AC18" t="str">
        <f t="shared" ref="AC18:AC49" ca="1" si="2">IF(W18=1000,"",INDEX(lu_countries_and_regions,W18))</f>
        <v/>
      </c>
      <c r="AD18" t="str">
        <f t="shared" ref="AD18:AD49" ca="1" si="3">IF(X18=1000,"",INDEX(lu_countries_and_regions,X18))</f>
        <v>Argentina</v>
      </c>
      <c r="AE18" t="str">
        <f t="shared" ref="AE18:AE49" ca="1" si="4">IF(Y18=1000,"",INDEX(lu_countries_and_regions,Y18))</f>
        <v>Bangladesh</v>
      </c>
      <c r="AF18" t="str">
        <f t="shared" ref="AF18:AF49" ca="1" si="5">IF(Z18=1000,"",INDEX(lu_countries_and_regions,Z18))</f>
        <v>Armenia</v>
      </c>
      <c r="AG18" t="str">
        <f t="shared" ref="AG18:AG49" ca="1" si="6">IF(AA18=1000,"",INDEX(lu_countries_and_regions,AA18))</f>
        <v>Cambodia</v>
      </c>
      <c r="AI18" t="str">
        <f ca="1">IF(W18=1000,"",INDEX(tblCountries!$H$3:$H$57,W18))</f>
        <v/>
      </c>
      <c r="AJ18">
        <f ca="1">IF(X18=1000,"",INDEX(tblCountries!$H$3:$H$57,X18))</f>
        <v>2</v>
      </c>
      <c r="AK18">
        <f ca="1">IF(Y18=1000,"",INDEX(tblCountries!$H$3:$H$57,Y18))</f>
        <v>2</v>
      </c>
      <c r="AL18">
        <f ca="1">IF(Z18=1000,"",INDEX(tblCountries!$H$3:$H$57,Z18))</f>
        <v>2</v>
      </c>
      <c r="AM18">
        <f ca="1">IF(AA18=1000,"",INDEX(tblCountries!$H$3:$H$57,AA18))</f>
        <v>2</v>
      </c>
    </row>
    <row r="19" spans="1:39">
      <c r="A19">
        <v>2</v>
      </c>
      <c r="B19">
        <f ca="1">tblCountries!H4</f>
        <v>2</v>
      </c>
      <c r="C19">
        <f t="shared" ca="1" si="0"/>
        <v>3</v>
      </c>
      <c r="E19">
        <f t="shared" ca="1" si="1"/>
        <v>1000</v>
      </c>
      <c r="F19">
        <f t="shared" ca="1" si="1"/>
        <v>1000</v>
      </c>
      <c r="G19">
        <f t="shared" ca="1" si="1"/>
        <v>1000</v>
      </c>
      <c r="H19">
        <f t="shared" ca="1" si="1"/>
        <v>2</v>
      </c>
      <c r="I19">
        <f t="shared" ca="1" si="1"/>
        <v>1000</v>
      </c>
      <c r="K19">
        <f ca="1">RANK(E19,E$18:E$72,-1)+COUNTIF(E$18:E19,E19)-1</f>
        <v>2</v>
      </c>
      <c r="L19">
        <f ca="1">RANK(F19,F$18:F$72,-1)+COUNTIF(F$18:F19,F19)-1</f>
        <v>7</v>
      </c>
      <c r="M19">
        <f ca="1">RANK(G19,G$18:G$72,-1)+COUNTIF(G$18:G19,G19)-1</f>
        <v>28</v>
      </c>
      <c r="N19">
        <f ca="1">RANK(H19,H$18:H$72,-1)+COUNTIF(H$18:H19,H19)-1</f>
        <v>1</v>
      </c>
      <c r="O19">
        <f ca="1">RANK(I19,I$18:I$72,-1)+COUNTIF(I$18:I19,I19)-1</f>
        <v>6</v>
      </c>
      <c r="Q19">
        <f t="shared" ref="Q19:Q72" ca="1" si="7">MATCH($A19,K$18:K$72,0)</f>
        <v>2</v>
      </c>
      <c r="R19">
        <f t="shared" ref="R19:R72" ca="1" si="8">MATCH($A19,L$18:L$72,0)</f>
        <v>26</v>
      </c>
      <c r="S19">
        <f t="shared" ref="S19:S72" ca="1" si="9">MATCH($A19,M$18:M$72,0)</f>
        <v>6</v>
      </c>
      <c r="T19">
        <f t="shared" ref="T19:T72" ca="1" si="10">MATCH($A19,N$18:N$72,0)</f>
        <v>3</v>
      </c>
      <c r="U19">
        <f t="shared" ref="U19:U72" ca="1" si="11">MATCH($A19,O$18:O$72,0)</f>
        <v>27</v>
      </c>
      <c r="W19">
        <f t="shared" ref="W19:W72" ca="1" si="12">INDEX(E$18:E$72,Q19)</f>
        <v>1000</v>
      </c>
      <c r="X19">
        <f t="shared" ref="X19:X72" ca="1" si="13">INDEX(F$18:F$72,R19)</f>
        <v>26</v>
      </c>
      <c r="Y19">
        <f t="shared" ref="Y19:Y72" ca="1" si="14">INDEX(G$18:G$72,S19)</f>
        <v>6</v>
      </c>
      <c r="Z19">
        <f t="shared" ref="Z19:Z72" ca="1" si="15">INDEX(H$18:H$72,T19)</f>
        <v>3</v>
      </c>
      <c r="AA19">
        <f t="shared" ref="AA19:AA72" ca="1" si="16">INDEX(I$18:I$72,U19)</f>
        <v>27</v>
      </c>
      <c r="AC19" t="str">
        <f t="shared" ca="1" si="2"/>
        <v/>
      </c>
      <c r="AD19" t="str">
        <f t="shared" ca="1" si="3"/>
        <v>Jamaica</v>
      </c>
      <c r="AE19" t="str">
        <f t="shared" ca="1" si="4"/>
        <v>Bosnia</v>
      </c>
      <c r="AF19" t="str">
        <f t="shared" ca="1" si="5"/>
        <v>Azerbaijan</v>
      </c>
      <c r="AG19" t="str">
        <f t="shared" ca="1" si="6"/>
        <v>Kenya</v>
      </c>
      <c r="AI19" t="str">
        <f ca="1">IF(W19=1000,"",INDEX(tblCountries!$H$3:$H$57,W19))</f>
        <v/>
      </c>
      <c r="AJ19">
        <f ca="1">IF(X19=1000,"",INDEX(tblCountries!$H$3:$H$57,X19))</f>
        <v>2</v>
      </c>
      <c r="AK19">
        <f ca="1">IF(Y19=1000,"",INDEX(tblCountries!$H$3:$H$57,Y19))</f>
        <v>2</v>
      </c>
      <c r="AL19">
        <f ca="1">IF(Z19=1000,"",INDEX(tblCountries!$H$3:$H$57,Z19))</f>
        <v>2</v>
      </c>
      <c r="AM19">
        <f ca="1">IF(AA19=1000,"",INDEX(tblCountries!$H$3:$H$57,AA19))</f>
        <v>2</v>
      </c>
    </row>
    <row r="20" spans="1:39">
      <c r="A20">
        <v>3</v>
      </c>
      <c r="B20">
        <f ca="1">tblCountries!H5</f>
        <v>2</v>
      </c>
      <c r="C20">
        <f t="shared" ca="1" si="0"/>
        <v>3</v>
      </c>
      <c r="E20">
        <f t="shared" ca="1" si="1"/>
        <v>1000</v>
      </c>
      <c r="F20">
        <f t="shared" ca="1" si="1"/>
        <v>1000</v>
      </c>
      <c r="G20">
        <f t="shared" ca="1" si="1"/>
        <v>1000</v>
      </c>
      <c r="H20">
        <f t="shared" ca="1" si="1"/>
        <v>3</v>
      </c>
      <c r="I20">
        <f t="shared" ca="1" si="1"/>
        <v>1000</v>
      </c>
      <c r="K20">
        <f ca="1">RANK(E20,E$18:E$72,-1)+COUNTIF(E$18:E20,E20)-1</f>
        <v>3</v>
      </c>
      <c r="L20">
        <f ca="1">RANK(F20,F$18:F$72,-1)+COUNTIF(F$18:F20,F20)-1</f>
        <v>8</v>
      </c>
      <c r="M20">
        <f ca="1">RANK(G20,G$18:G$72,-1)+COUNTIF(G$18:G20,G20)-1</f>
        <v>29</v>
      </c>
      <c r="N20">
        <f ca="1">RANK(H20,H$18:H$72,-1)+COUNTIF(H$18:H20,H20)-1</f>
        <v>2</v>
      </c>
      <c r="O20">
        <f ca="1">RANK(I20,I$18:I$72,-1)+COUNTIF(I$18:I20,I20)-1</f>
        <v>7</v>
      </c>
      <c r="Q20">
        <f t="shared" ca="1" si="7"/>
        <v>3</v>
      </c>
      <c r="R20">
        <f t="shared" ca="1" si="8"/>
        <v>48</v>
      </c>
      <c r="S20">
        <f t="shared" ca="1" si="9"/>
        <v>7</v>
      </c>
      <c r="T20">
        <f t="shared" ca="1" si="10"/>
        <v>5</v>
      </c>
      <c r="U20">
        <f t="shared" ca="1" si="11"/>
        <v>42</v>
      </c>
      <c r="W20">
        <f t="shared" ca="1" si="12"/>
        <v>1000</v>
      </c>
      <c r="X20">
        <f t="shared" ca="1" si="13"/>
        <v>48</v>
      </c>
      <c r="Y20">
        <f t="shared" ca="1" si="14"/>
        <v>7</v>
      </c>
      <c r="Z20">
        <f t="shared" ca="1" si="15"/>
        <v>5</v>
      </c>
      <c r="AA20">
        <f t="shared" ca="1" si="16"/>
        <v>42</v>
      </c>
      <c r="AC20" t="str">
        <f t="shared" ca="1" si="2"/>
        <v/>
      </c>
      <c r="AD20" t="str">
        <f t="shared" ca="1" si="3"/>
        <v>Thailand</v>
      </c>
      <c r="AE20" t="str">
        <f t="shared" ca="1" si="4"/>
        <v>Brazil</v>
      </c>
      <c r="AF20" t="str">
        <f t="shared" ca="1" si="5"/>
        <v>Bolivia</v>
      </c>
      <c r="AG20" t="str">
        <f t="shared" ca="1" si="6"/>
        <v>Philippines</v>
      </c>
      <c r="AI20" t="str">
        <f ca="1">IF(W20=1000,"",INDEX(tblCountries!$H$3:$H$57,W20))</f>
        <v/>
      </c>
      <c r="AJ20">
        <f ca="1">IF(X20=1000,"",INDEX(tblCountries!$H$3:$H$57,X20))</f>
        <v>2</v>
      </c>
      <c r="AK20">
        <f ca="1">IF(Y20=1000,"",INDEX(tblCountries!$H$3:$H$57,Y20))</f>
        <v>2</v>
      </c>
      <c r="AL20">
        <f ca="1">IF(Z20=1000,"",INDEX(tblCountries!$H$3:$H$57,Z20))</f>
        <v>2</v>
      </c>
      <c r="AM20">
        <f ca="1">IF(AA20=1000,"",INDEX(tblCountries!$H$3:$H$57,AA20))</f>
        <v>2</v>
      </c>
    </row>
    <row r="21" spans="1:39">
      <c r="A21">
        <v>4</v>
      </c>
      <c r="B21">
        <f ca="1">tblCountries!H6</f>
        <v>2</v>
      </c>
      <c r="C21">
        <f t="shared" ca="1" si="0"/>
        <v>2</v>
      </c>
      <c r="E21">
        <f t="shared" ca="1" si="1"/>
        <v>1000</v>
      </c>
      <c r="F21">
        <f t="shared" ca="1" si="1"/>
        <v>1000</v>
      </c>
      <c r="G21">
        <f t="shared" ca="1" si="1"/>
        <v>4</v>
      </c>
      <c r="H21">
        <f t="shared" ca="1" si="1"/>
        <v>1000</v>
      </c>
      <c r="I21">
        <f t="shared" ca="1" si="1"/>
        <v>1000</v>
      </c>
      <c r="K21">
        <f ca="1">RANK(E21,E$18:E$72,-1)+COUNTIF(E$18:E21,E21)-1</f>
        <v>4</v>
      </c>
      <c r="L21">
        <f ca="1">RANK(F21,F$18:F$72,-1)+COUNTIF(F$18:F21,F21)-1</f>
        <v>9</v>
      </c>
      <c r="M21">
        <f ca="1">RANK(G21,G$18:G$72,-1)+COUNTIF(G$18:G21,G21)-1</f>
        <v>1</v>
      </c>
      <c r="N21">
        <f ca="1">RANK(H21,H$18:H$72,-1)+COUNTIF(H$18:H21,H21)-1</f>
        <v>21</v>
      </c>
      <c r="O21">
        <f ca="1">RANK(I21,I$18:I$72,-1)+COUNTIF(I$18:I21,I21)-1</f>
        <v>8</v>
      </c>
      <c r="Q21">
        <f t="shared" ca="1" si="7"/>
        <v>4</v>
      </c>
      <c r="R21">
        <f t="shared" ca="1" si="8"/>
        <v>49</v>
      </c>
      <c r="S21">
        <f t="shared" ca="1" si="9"/>
        <v>11</v>
      </c>
      <c r="T21">
        <f t="shared" ca="1" si="10"/>
        <v>9</v>
      </c>
      <c r="U21">
        <f t="shared" ca="1" si="11"/>
        <v>51</v>
      </c>
      <c r="W21">
        <f t="shared" ca="1" si="12"/>
        <v>1000</v>
      </c>
      <c r="X21">
        <f t="shared" ca="1" si="13"/>
        <v>49</v>
      </c>
      <c r="Y21">
        <f t="shared" ca="1" si="14"/>
        <v>11</v>
      </c>
      <c r="Z21">
        <f t="shared" ca="1" si="15"/>
        <v>9</v>
      </c>
      <c r="AA21">
        <f t="shared" ca="1" si="16"/>
        <v>51</v>
      </c>
      <c r="AC21" t="str">
        <f t="shared" ca="1" si="2"/>
        <v/>
      </c>
      <c r="AD21" t="str">
        <f t="shared" ca="1" si="3"/>
        <v>Trinidad and Tobago</v>
      </c>
      <c r="AE21" t="str">
        <f t="shared" ca="1" si="4"/>
        <v>China</v>
      </c>
      <c r="AF21" t="str">
        <f t="shared" ca="1" si="5"/>
        <v>Cameroon</v>
      </c>
      <c r="AG21" t="str">
        <f t="shared" ca="1" si="6"/>
        <v>Uganda</v>
      </c>
      <c r="AI21" t="str">
        <f ca="1">IF(W21=1000,"",INDEX(tblCountries!$H$3:$H$57,W21))</f>
        <v/>
      </c>
      <c r="AJ21">
        <f ca="1">IF(X21=1000,"",INDEX(tblCountries!$H$3:$H$57,X21))</f>
        <v>2</v>
      </c>
      <c r="AK21">
        <f ca="1">IF(Y21=1000,"",INDEX(tblCountries!$H$3:$H$57,Y21))</f>
        <v>2</v>
      </c>
      <c r="AL21">
        <f ca="1">IF(Z21=1000,"",INDEX(tblCountries!$H$3:$H$57,Z21))</f>
        <v>2</v>
      </c>
      <c r="AM21">
        <f ca="1">IF(AA21=1000,"",INDEX(tblCountries!$H$3:$H$57,AA21))</f>
        <v>2</v>
      </c>
    </row>
    <row r="22" spans="1:39">
      <c r="A22">
        <v>5</v>
      </c>
      <c r="B22">
        <f ca="1">tblCountries!H7</f>
        <v>2</v>
      </c>
      <c r="C22">
        <f t="shared" ca="1" si="0"/>
        <v>3</v>
      </c>
      <c r="E22">
        <f t="shared" ca="1" si="1"/>
        <v>1000</v>
      </c>
      <c r="F22">
        <f t="shared" ca="1" si="1"/>
        <v>1000</v>
      </c>
      <c r="G22">
        <f t="shared" ca="1" si="1"/>
        <v>1000</v>
      </c>
      <c r="H22">
        <f t="shared" ca="1" si="1"/>
        <v>5</v>
      </c>
      <c r="I22">
        <f t="shared" ca="1" si="1"/>
        <v>1000</v>
      </c>
      <c r="K22">
        <f ca="1">RANK(E22,E$18:E$72,-1)+COUNTIF(E$18:E22,E22)-1</f>
        <v>5</v>
      </c>
      <c r="L22">
        <f ca="1">RANK(F22,F$18:F$72,-1)+COUNTIF(F$18:F22,F22)-1</f>
        <v>10</v>
      </c>
      <c r="M22">
        <f ca="1">RANK(G22,G$18:G$72,-1)+COUNTIF(G$18:G22,G22)-1</f>
        <v>30</v>
      </c>
      <c r="N22">
        <f ca="1">RANK(H22,H$18:H$72,-1)+COUNTIF(H$18:H22,H22)-1</f>
        <v>3</v>
      </c>
      <c r="O22">
        <f ca="1">RANK(I22,I$18:I$72,-1)+COUNTIF(I$18:I22,I22)-1</f>
        <v>9</v>
      </c>
      <c r="Q22">
        <f t="shared" ca="1" si="7"/>
        <v>5</v>
      </c>
      <c r="R22">
        <f t="shared" ca="1" si="8"/>
        <v>53</v>
      </c>
      <c r="S22">
        <f t="shared" ca="1" si="9"/>
        <v>12</v>
      </c>
      <c r="T22">
        <f t="shared" ca="1" si="10"/>
        <v>10</v>
      </c>
      <c r="U22">
        <f t="shared" ca="1" si="11"/>
        <v>1</v>
      </c>
      <c r="W22">
        <f t="shared" ca="1" si="12"/>
        <v>1000</v>
      </c>
      <c r="X22">
        <f t="shared" ca="1" si="13"/>
        <v>53</v>
      </c>
      <c r="Y22">
        <f t="shared" ca="1" si="14"/>
        <v>12</v>
      </c>
      <c r="Z22">
        <f t="shared" ca="1" si="15"/>
        <v>10</v>
      </c>
      <c r="AA22">
        <f t="shared" ca="1" si="16"/>
        <v>1000</v>
      </c>
      <c r="AC22" t="str">
        <f t="shared" ca="1" si="2"/>
        <v/>
      </c>
      <c r="AD22" t="str">
        <f t="shared" ca="1" si="3"/>
        <v>Venezuela</v>
      </c>
      <c r="AE22" t="str">
        <f t="shared" ca="1" si="4"/>
        <v>Colombia</v>
      </c>
      <c r="AF22" t="str">
        <f t="shared" ca="1" si="5"/>
        <v>Chile</v>
      </c>
      <c r="AG22" t="str">
        <f t="shared" ca="1" si="6"/>
        <v/>
      </c>
      <c r="AI22" t="str">
        <f ca="1">IF(W22=1000,"",INDEX(tblCountries!$H$3:$H$57,W22))</f>
        <v/>
      </c>
      <c r="AJ22">
        <f ca="1">IF(X22=1000,"",INDEX(tblCountries!$H$3:$H$57,X22))</f>
        <v>2</v>
      </c>
      <c r="AK22">
        <f ca="1">IF(Y22=1000,"",INDEX(tblCountries!$H$3:$H$57,Y22))</f>
        <v>2</v>
      </c>
      <c r="AL22">
        <f ca="1">IF(Z22=1000,"",INDEX(tblCountries!$H$3:$H$57,Z22))</f>
        <v>2</v>
      </c>
      <c r="AM22" t="str">
        <f ca="1">IF(AA22=1000,"",INDEX(tblCountries!$H$3:$H$57,AA22))</f>
        <v/>
      </c>
    </row>
    <row r="23" spans="1:39">
      <c r="A23">
        <v>6</v>
      </c>
      <c r="B23">
        <f ca="1">tblCountries!H8</f>
        <v>2</v>
      </c>
      <c r="C23">
        <f t="shared" ca="1" si="0"/>
        <v>2</v>
      </c>
      <c r="E23">
        <f t="shared" ca="1" si="1"/>
        <v>1000</v>
      </c>
      <c r="F23">
        <f t="shared" ca="1" si="1"/>
        <v>1000</v>
      </c>
      <c r="G23">
        <f t="shared" ca="1" si="1"/>
        <v>6</v>
      </c>
      <c r="H23">
        <f t="shared" ca="1" si="1"/>
        <v>1000</v>
      </c>
      <c r="I23">
        <f t="shared" ca="1" si="1"/>
        <v>1000</v>
      </c>
      <c r="K23">
        <f ca="1">RANK(E23,E$18:E$72,-1)+COUNTIF(E$18:E23,E23)-1</f>
        <v>6</v>
      </c>
      <c r="L23">
        <f ca="1">RANK(F23,F$18:F$72,-1)+COUNTIF(F$18:F23,F23)-1</f>
        <v>11</v>
      </c>
      <c r="M23">
        <f ca="1">RANK(G23,G$18:G$72,-1)+COUNTIF(G$18:G23,G23)-1</f>
        <v>2</v>
      </c>
      <c r="N23">
        <f ca="1">RANK(H23,H$18:H$72,-1)+COUNTIF(H$18:H23,H23)-1</f>
        <v>22</v>
      </c>
      <c r="O23">
        <f ca="1">RANK(I23,I$18:I$72,-1)+COUNTIF(I$18:I23,I23)-1</f>
        <v>10</v>
      </c>
      <c r="Q23">
        <f t="shared" ca="1" si="7"/>
        <v>6</v>
      </c>
      <c r="R23">
        <f t="shared" ca="1" si="8"/>
        <v>54</v>
      </c>
      <c r="S23">
        <f t="shared" ca="1" si="9"/>
        <v>13</v>
      </c>
      <c r="T23">
        <f t="shared" ca="1" si="10"/>
        <v>19</v>
      </c>
      <c r="U23">
        <f t="shared" ca="1" si="11"/>
        <v>2</v>
      </c>
      <c r="W23">
        <f t="shared" ca="1" si="12"/>
        <v>1000</v>
      </c>
      <c r="X23">
        <f t="shared" ca="1" si="13"/>
        <v>54</v>
      </c>
      <c r="Y23">
        <f t="shared" ca="1" si="14"/>
        <v>13</v>
      </c>
      <c r="Z23">
        <f t="shared" ca="1" si="15"/>
        <v>19</v>
      </c>
      <c r="AA23">
        <f t="shared" ca="1" si="16"/>
        <v>1000</v>
      </c>
      <c r="AC23" t="str">
        <f t="shared" ca="1" si="2"/>
        <v/>
      </c>
      <c r="AD23" t="str">
        <f t="shared" ca="1" si="3"/>
        <v>Vietnam</v>
      </c>
      <c r="AE23" t="str">
        <f t="shared" ca="1" si="4"/>
        <v>Costa Rica</v>
      </c>
      <c r="AF23" t="str">
        <f t="shared" ca="1" si="5"/>
        <v>Georgia</v>
      </c>
      <c r="AG23" t="str">
        <f t="shared" ca="1" si="6"/>
        <v/>
      </c>
      <c r="AI23" t="str">
        <f ca="1">IF(W23=1000,"",INDEX(tblCountries!$H$3:$H$57,W23))</f>
        <v/>
      </c>
      <c r="AJ23">
        <f ca="1">IF(X23=1000,"",INDEX(tblCountries!$H$3:$H$57,X23))</f>
        <v>2</v>
      </c>
      <c r="AK23">
        <f ca="1">IF(Y23=1000,"",INDEX(tblCountries!$H$3:$H$57,Y23))</f>
        <v>2</v>
      </c>
      <c r="AL23">
        <f ca="1">IF(Z23=1000,"",INDEX(tblCountries!$H$3:$H$57,Z23))</f>
        <v>2</v>
      </c>
      <c r="AM23" t="str">
        <f ca="1">IF(AA23=1000,"",INDEX(tblCountries!$H$3:$H$57,AA23))</f>
        <v/>
      </c>
    </row>
    <row r="24" spans="1:39">
      <c r="A24">
        <v>7</v>
      </c>
      <c r="B24">
        <f ca="1">tblCountries!H9</f>
        <v>2</v>
      </c>
      <c r="C24">
        <f t="shared" ca="1" si="0"/>
        <v>2</v>
      </c>
      <c r="E24">
        <f t="shared" ca="1" si="1"/>
        <v>1000</v>
      </c>
      <c r="F24">
        <f t="shared" ca="1" si="1"/>
        <v>1000</v>
      </c>
      <c r="G24">
        <f t="shared" ca="1" si="1"/>
        <v>7</v>
      </c>
      <c r="H24">
        <f t="shared" ca="1" si="1"/>
        <v>1000</v>
      </c>
      <c r="I24">
        <f t="shared" ca="1" si="1"/>
        <v>1000</v>
      </c>
      <c r="K24">
        <f ca="1">RANK(E24,E$18:E$72,-1)+COUNTIF(E$18:E24,E24)-1</f>
        <v>7</v>
      </c>
      <c r="L24">
        <f ca="1">RANK(F24,F$18:F$72,-1)+COUNTIF(F$18:F24,F24)-1</f>
        <v>12</v>
      </c>
      <c r="M24">
        <f ca="1">RANK(G24,G$18:G$72,-1)+COUNTIF(G$18:G24,G24)-1</f>
        <v>3</v>
      </c>
      <c r="N24">
        <f ca="1">RANK(H24,H$18:H$72,-1)+COUNTIF(H$18:H24,H24)-1</f>
        <v>23</v>
      </c>
      <c r="O24">
        <f ca="1">RANK(I24,I$18:I$72,-1)+COUNTIF(I$18:I24,I24)-1</f>
        <v>11</v>
      </c>
      <c r="Q24">
        <f t="shared" ca="1" si="7"/>
        <v>7</v>
      </c>
      <c r="R24">
        <f t="shared" ca="1" si="8"/>
        <v>2</v>
      </c>
      <c r="S24">
        <f t="shared" ca="1" si="9"/>
        <v>14</v>
      </c>
      <c r="T24">
        <f t="shared" ca="1" si="10"/>
        <v>20</v>
      </c>
      <c r="U24">
        <f t="shared" ca="1" si="11"/>
        <v>3</v>
      </c>
      <c r="W24">
        <f t="shared" ca="1" si="12"/>
        <v>1000</v>
      </c>
      <c r="X24">
        <f t="shared" ca="1" si="13"/>
        <v>1000</v>
      </c>
      <c r="Y24">
        <f t="shared" ca="1" si="14"/>
        <v>14</v>
      </c>
      <c r="Z24">
        <f t="shared" ca="1" si="15"/>
        <v>20</v>
      </c>
      <c r="AA24">
        <f t="shared" ca="1" si="16"/>
        <v>1000</v>
      </c>
      <c r="AC24" t="str">
        <f t="shared" ca="1" si="2"/>
        <v/>
      </c>
      <c r="AD24" t="str">
        <f t="shared" ca="1" si="3"/>
        <v/>
      </c>
      <c r="AE24" t="str">
        <f t="shared" ca="1" si="4"/>
        <v>Dominican Republic</v>
      </c>
      <c r="AF24" t="str">
        <f t="shared" ca="1" si="5"/>
        <v>Ghana</v>
      </c>
      <c r="AG24" t="str">
        <f t="shared" ca="1" si="6"/>
        <v/>
      </c>
      <c r="AI24" t="str">
        <f ca="1">IF(W24=1000,"",INDEX(tblCountries!$H$3:$H$57,W24))</f>
        <v/>
      </c>
      <c r="AJ24" t="str">
        <f ca="1">IF(X24=1000,"",INDEX(tblCountries!$H$3:$H$57,X24))</f>
        <v/>
      </c>
      <c r="AK24">
        <f ca="1">IF(Y24=1000,"",INDEX(tblCountries!$H$3:$H$57,Y24))</f>
        <v>2</v>
      </c>
      <c r="AL24">
        <f ca="1">IF(Z24=1000,"",INDEX(tblCountries!$H$3:$H$57,Z24))</f>
        <v>2</v>
      </c>
      <c r="AM24" t="str">
        <f ca="1">IF(AA24=1000,"",INDEX(tblCountries!$H$3:$H$57,AA24))</f>
        <v/>
      </c>
    </row>
    <row r="25" spans="1:39">
      <c r="A25">
        <v>8</v>
      </c>
      <c r="B25">
        <f ca="1">tblCountries!H10</f>
        <v>2</v>
      </c>
      <c r="C25">
        <f t="shared" ca="1" si="0"/>
        <v>4</v>
      </c>
      <c r="E25">
        <f t="shared" ca="1" si="1"/>
        <v>1000</v>
      </c>
      <c r="F25">
        <f t="shared" ca="1" si="1"/>
        <v>1000</v>
      </c>
      <c r="G25">
        <f t="shared" ca="1" si="1"/>
        <v>1000</v>
      </c>
      <c r="H25">
        <f t="shared" ca="1" si="1"/>
        <v>1000</v>
      </c>
      <c r="I25">
        <f t="shared" ca="1" si="1"/>
        <v>8</v>
      </c>
      <c r="K25">
        <f ca="1">RANK(E25,E$18:E$72,-1)+COUNTIF(E$18:E25,E25)-1</f>
        <v>8</v>
      </c>
      <c r="L25">
        <f ca="1">RANK(F25,F$18:F$72,-1)+COUNTIF(F$18:F25,F25)-1</f>
        <v>13</v>
      </c>
      <c r="M25">
        <f ca="1">RANK(G25,G$18:G$72,-1)+COUNTIF(G$18:G25,G25)-1</f>
        <v>31</v>
      </c>
      <c r="N25">
        <f ca="1">RANK(H25,H$18:H$72,-1)+COUNTIF(H$18:H25,H25)-1</f>
        <v>24</v>
      </c>
      <c r="O25">
        <f ca="1">RANK(I25,I$18:I$72,-1)+COUNTIF(I$18:I25,I25)-1</f>
        <v>1</v>
      </c>
      <c r="Q25">
        <f t="shared" ca="1" si="7"/>
        <v>8</v>
      </c>
      <c r="R25">
        <f t="shared" ca="1" si="8"/>
        <v>3</v>
      </c>
      <c r="S25">
        <f t="shared" ca="1" si="9"/>
        <v>15</v>
      </c>
      <c r="T25">
        <f t="shared" ca="1" si="10"/>
        <v>21</v>
      </c>
      <c r="U25">
        <f t="shared" ca="1" si="11"/>
        <v>4</v>
      </c>
      <c r="W25">
        <f t="shared" ca="1" si="12"/>
        <v>1000</v>
      </c>
      <c r="X25">
        <f t="shared" ca="1" si="13"/>
        <v>1000</v>
      </c>
      <c r="Y25">
        <f t="shared" ca="1" si="14"/>
        <v>15</v>
      </c>
      <c r="Z25">
        <f t="shared" ca="1" si="15"/>
        <v>21</v>
      </c>
      <c r="AA25">
        <f t="shared" ca="1" si="16"/>
        <v>1000</v>
      </c>
      <c r="AC25" t="str">
        <f t="shared" ca="1" si="2"/>
        <v/>
      </c>
      <c r="AD25" t="str">
        <f t="shared" ca="1" si="3"/>
        <v/>
      </c>
      <c r="AE25" t="str">
        <f t="shared" ca="1" si="4"/>
        <v>DRC</v>
      </c>
      <c r="AF25" t="str">
        <f t="shared" ca="1" si="5"/>
        <v>Guatemala</v>
      </c>
      <c r="AG25" t="str">
        <f t="shared" ca="1" si="6"/>
        <v/>
      </c>
      <c r="AI25" t="str">
        <f ca="1">IF(W25=1000,"",INDEX(tblCountries!$H$3:$H$57,W25))</f>
        <v/>
      </c>
      <c r="AJ25" t="str">
        <f ca="1">IF(X25=1000,"",INDEX(tblCountries!$H$3:$H$57,X25))</f>
        <v/>
      </c>
      <c r="AK25">
        <f ca="1">IF(Y25=1000,"",INDEX(tblCountries!$H$3:$H$57,Y25))</f>
        <v>2</v>
      </c>
      <c r="AL25">
        <f ca="1">IF(Z25=1000,"",INDEX(tblCountries!$H$3:$H$57,Z25))</f>
        <v>2</v>
      </c>
      <c r="AM25" t="str">
        <f ca="1">IF(AA25=1000,"",INDEX(tblCountries!$H$3:$H$57,AA25))</f>
        <v/>
      </c>
    </row>
    <row r="26" spans="1:39">
      <c r="A26">
        <v>9</v>
      </c>
      <c r="B26">
        <f ca="1">tblCountries!H11</f>
        <v>2</v>
      </c>
      <c r="C26">
        <f t="shared" ca="1" si="0"/>
        <v>3</v>
      </c>
      <c r="E26">
        <f t="shared" ca="1" si="1"/>
        <v>1000</v>
      </c>
      <c r="F26">
        <f t="shared" ca="1" si="1"/>
        <v>1000</v>
      </c>
      <c r="G26">
        <f t="shared" ca="1" si="1"/>
        <v>1000</v>
      </c>
      <c r="H26">
        <f t="shared" ca="1" si="1"/>
        <v>9</v>
      </c>
      <c r="I26">
        <f t="shared" ca="1" si="1"/>
        <v>1000</v>
      </c>
      <c r="K26">
        <f ca="1">RANK(E26,E$18:E$72,-1)+COUNTIF(E$18:E26,E26)-1</f>
        <v>9</v>
      </c>
      <c r="L26">
        <f ca="1">RANK(F26,F$18:F$72,-1)+COUNTIF(F$18:F26,F26)-1</f>
        <v>14</v>
      </c>
      <c r="M26">
        <f ca="1">RANK(G26,G$18:G$72,-1)+COUNTIF(G$18:G26,G26)-1</f>
        <v>32</v>
      </c>
      <c r="N26">
        <f ca="1">RANK(H26,H$18:H$72,-1)+COUNTIF(H$18:H26,H26)-1</f>
        <v>4</v>
      </c>
      <c r="O26">
        <f ca="1">RANK(I26,I$18:I$72,-1)+COUNTIF(I$18:I26,I26)-1</f>
        <v>12</v>
      </c>
      <c r="Q26">
        <f t="shared" ca="1" si="7"/>
        <v>9</v>
      </c>
      <c r="R26">
        <f t="shared" ca="1" si="8"/>
        <v>4</v>
      </c>
      <c r="S26">
        <f t="shared" ca="1" si="9"/>
        <v>16</v>
      </c>
      <c r="T26">
        <f t="shared" ca="1" si="10"/>
        <v>24</v>
      </c>
      <c r="U26">
        <f t="shared" ca="1" si="11"/>
        <v>5</v>
      </c>
      <c r="W26">
        <f t="shared" ca="1" si="12"/>
        <v>1000</v>
      </c>
      <c r="X26">
        <f t="shared" ca="1" si="13"/>
        <v>1000</v>
      </c>
      <c r="Y26">
        <f t="shared" ca="1" si="14"/>
        <v>16</v>
      </c>
      <c r="Z26">
        <f t="shared" ca="1" si="15"/>
        <v>24</v>
      </c>
      <c r="AA26">
        <f t="shared" ca="1" si="16"/>
        <v>1000</v>
      </c>
      <c r="AC26" t="str">
        <f t="shared" ca="1" si="2"/>
        <v/>
      </c>
      <c r="AD26" t="str">
        <f t="shared" ca="1" si="3"/>
        <v/>
      </c>
      <c r="AE26" t="str">
        <f t="shared" ca="1" si="4"/>
        <v>Ecuador</v>
      </c>
      <c r="AF26" t="str">
        <f t="shared" ca="1" si="5"/>
        <v>India</v>
      </c>
      <c r="AG26" t="str">
        <f t="shared" ca="1" si="6"/>
        <v/>
      </c>
      <c r="AI26" t="str">
        <f ca="1">IF(W26=1000,"",INDEX(tblCountries!$H$3:$H$57,W26))</f>
        <v/>
      </c>
      <c r="AJ26" t="str">
        <f ca="1">IF(X26=1000,"",INDEX(tblCountries!$H$3:$H$57,X26))</f>
        <v/>
      </c>
      <c r="AK26">
        <f ca="1">IF(Y26=1000,"",INDEX(tblCountries!$H$3:$H$57,Y26))</f>
        <v>2</v>
      </c>
      <c r="AL26">
        <f ca="1">IF(Z26=1000,"",INDEX(tblCountries!$H$3:$H$57,Z26))</f>
        <v>2</v>
      </c>
      <c r="AM26" t="str">
        <f ca="1">IF(AA26=1000,"",INDEX(tblCountries!$H$3:$H$57,AA26))</f>
        <v/>
      </c>
    </row>
    <row r="27" spans="1:39">
      <c r="A27">
        <v>10</v>
      </c>
      <c r="B27">
        <f ca="1">tblCountries!H12</f>
        <v>2</v>
      </c>
      <c r="C27">
        <f t="shared" ca="1" si="0"/>
        <v>3</v>
      </c>
      <c r="E27">
        <f t="shared" ca="1" si="1"/>
        <v>1000</v>
      </c>
      <c r="F27">
        <f t="shared" ca="1" si="1"/>
        <v>1000</v>
      </c>
      <c r="G27">
        <f t="shared" ca="1" si="1"/>
        <v>1000</v>
      </c>
      <c r="H27">
        <f t="shared" ca="1" si="1"/>
        <v>10</v>
      </c>
      <c r="I27">
        <f t="shared" ca="1" si="1"/>
        <v>1000</v>
      </c>
      <c r="K27">
        <f ca="1">RANK(E27,E$18:E$72,-1)+COUNTIF(E$18:E27,E27)-1</f>
        <v>10</v>
      </c>
      <c r="L27">
        <f ca="1">RANK(F27,F$18:F$72,-1)+COUNTIF(F$18:F27,F27)-1</f>
        <v>15</v>
      </c>
      <c r="M27">
        <f ca="1">RANK(G27,G$18:G$72,-1)+COUNTIF(G$18:G27,G27)-1</f>
        <v>33</v>
      </c>
      <c r="N27">
        <f ca="1">RANK(H27,H$18:H$72,-1)+COUNTIF(H$18:H27,H27)-1</f>
        <v>5</v>
      </c>
      <c r="O27">
        <f ca="1">RANK(I27,I$18:I$72,-1)+COUNTIF(I$18:I27,I27)-1</f>
        <v>13</v>
      </c>
      <c r="Q27">
        <f t="shared" ca="1" si="7"/>
        <v>10</v>
      </c>
      <c r="R27">
        <f t="shared" ca="1" si="8"/>
        <v>5</v>
      </c>
      <c r="S27">
        <f t="shared" ca="1" si="9"/>
        <v>17</v>
      </c>
      <c r="T27">
        <f t="shared" ca="1" si="10"/>
        <v>28</v>
      </c>
      <c r="U27">
        <f t="shared" ca="1" si="11"/>
        <v>6</v>
      </c>
      <c r="W27">
        <f t="shared" ca="1" si="12"/>
        <v>1000</v>
      </c>
      <c r="X27">
        <f t="shared" ca="1" si="13"/>
        <v>1000</v>
      </c>
      <c r="Y27">
        <f t="shared" ca="1" si="14"/>
        <v>17</v>
      </c>
      <c r="Z27">
        <f t="shared" ca="1" si="15"/>
        <v>28</v>
      </c>
      <c r="AA27">
        <f t="shared" ca="1" si="16"/>
        <v>1000</v>
      </c>
      <c r="AC27" t="str">
        <f t="shared" ca="1" si="2"/>
        <v/>
      </c>
      <c r="AD27" t="str">
        <f t="shared" ca="1" si="3"/>
        <v/>
      </c>
      <c r="AE27" t="str">
        <f t="shared" ca="1" si="4"/>
        <v>El Salvador</v>
      </c>
      <c r="AF27" t="str">
        <f t="shared" ca="1" si="5"/>
        <v>Kyrgyzstan</v>
      </c>
      <c r="AG27" t="str">
        <f t="shared" ca="1" si="6"/>
        <v/>
      </c>
      <c r="AI27" t="str">
        <f ca="1">IF(W27=1000,"",INDEX(tblCountries!$H$3:$H$57,W27))</f>
        <v/>
      </c>
      <c r="AJ27" t="str">
        <f ca="1">IF(X27=1000,"",INDEX(tblCountries!$H$3:$H$57,X27))</f>
        <v/>
      </c>
      <c r="AK27">
        <f ca="1">IF(Y27=1000,"",INDEX(tblCountries!$H$3:$H$57,Y27))</f>
        <v>2</v>
      </c>
      <c r="AL27">
        <f ca="1">IF(Z27=1000,"",INDEX(tblCountries!$H$3:$H$57,Z27))</f>
        <v>2</v>
      </c>
      <c r="AM27" t="str">
        <f ca="1">IF(AA27=1000,"",INDEX(tblCountries!$H$3:$H$57,AA27))</f>
        <v/>
      </c>
    </row>
    <row r="28" spans="1:39">
      <c r="A28">
        <v>11</v>
      </c>
      <c r="B28">
        <f ca="1">tblCountries!H13</f>
        <v>2</v>
      </c>
      <c r="C28">
        <f t="shared" ca="1" si="0"/>
        <v>2</v>
      </c>
      <c r="E28">
        <f t="shared" ref="E28:I37" ca="1" si="17">IF($B28=0,1000,IF(AND($C28&gt;=E$16,$C28&lt;F$16),$A28,1000))</f>
        <v>1000</v>
      </c>
      <c r="F28">
        <f t="shared" ca="1" si="17"/>
        <v>1000</v>
      </c>
      <c r="G28">
        <f t="shared" ca="1" si="17"/>
        <v>11</v>
      </c>
      <c r="H28">
        <f t="shared" ca="1" si="17"/>
        <v>1000</v>
      </c>
      <c r="I28">
        <f t="shared" ca="1" si="17"/>
        <v>1000</v>
      </c>
      <c r="K28">
        <f ca="1">RANK(E28,E$18:E$72,-1)+COUNTIF(E$18:E28,E28)-1</f>
        <v>11</v>
      </c>
      <c r="L28">
        <f ca="1">RANK(F28,F$18:F$72,-1)+COUNTIF(F$18:F28,F28)-1</f>
        <v>16</v>
      </c>
      <c r="M28">
        <f ca="1">RANK(G28,G$18:G$72,-1)+COUNTIF(G$18:G28,G28)-1</f>
        <v>4</v>
      </c>
      <c r="N28">
        <f ca="1">RANK(H28,H$18:H$72,-1)+COUNTIF(H$18:H28,H28)-1</f>
        <v>25</v>
      </c>
      <c r="O28">
        <f ca="1">RANK(I28,I$18:I$72,-1)+COUNTIF(I$18:I28,I28)-1</f>
        <v>14</v>
      </c>
      <c r="Q28">
        <f t="shared" ca="1" si="7"/>
        <v>11</v>
      </c>
      <c r="R28">
        <f t="shared" ca="1" si="8"/>
        <v>6</v>
      </c>
      <c r="S28">
        <f t="shared" ca="1" si="9"/>
        <v>18</v>
      </c>
      <c r="T28">
        <f t="shared" ca="1" si="10"/>
        <v>32</v>
      </c>
      <c r="U28">
        <f t="shared" ca="1" si="11"/>
        <v>7</v>
      </c>
      <c r="W28">
        <f t="shared" ca="1" si="12"/>
        <v>1000</v>
      </c>
      <c r="X28">
        <f t="shared" ca="1" si="13"/>
        <v>1000</v>
      </c>
      <c r="Y28">
        <f t="shared" ca="1" si="14"/>
        <v>18</v>
      </c>
      <c r="Z28">
        <f t="shared" ca="1" si="15"/>
        <v>32</v>
      </c>
      <c r="AA28">
        <f t="shared" ca="1" si="16"/>
        <v>1000</v>
      </c>
      <c r="AC28" t="str">
        <f t="shared" ca="1" si="2"/>
        <v/>
      </c>
      <c r="AD28" t="str">
        <f t="shared" ca="1" si="3"/>
        <v/>
      </c>
      <c r="AE28" t="str">
        <f t="shared" ca="1" si="4"/>
        <v>Ethiopia</v>
      </c>
      <c r="AF28" t="str">
        <f t="shared" ca="1" si="5"/>
        <v>Mongolia</v>
      </c>
      <c r="AG28" t="str">
        <f t="shared" ca="1" si="6"/>
        <v/>
      </c>
      <c r="AI28" t="str">
        <f ca="1">IF(W28=1000,"",INDEX(tblCountries!$H$3:$H$57,W28))</f>
        <v/>
      </c>
      <c r="AJ28" t="str">
        <f ca="1">IF(X28=1000,"",INDEX(tblCountries!$H$3:$H$57,X28))</f>
        <v/>
      </c>
      <c r="AK28">
        <f ca="1">IF(Y28=1000,"",INDEX(tblCountries!$H$3:$H$57,Y28))</f>
        <v>2</v>
      </c>
      <c r="AL28">
        <f ca="1">IF(Z28=1000,"",INDEX(tblCountries!$H$3:$H$57,Z28))</f>
        <v>2</v>
      </c>
      <c r="AM28" t="str">
        <f ca="1">IF(AA28=1000,"",INDEX(tblCountries!$H$3:$H$57,AA28))</f>
        <v/>
      </c>
    </row>
    <row r="29" spans="1:39">
      <c r="A29">
        <v>12</v>
      </c>
      <c r="B29">
        <f ca="1">tblCountries!H14</f>
        <v>2</v>
      </c>
      <c r="C29">
        <f t="shared" ca="1" si="0"/>
        <v>2</v>
      </c>
      <c r="E29">
        <f t="shared" ca="1" si="17"/>
        <v>1000</v>
      </c>
      <c r="F29">
        <f t="shared" ca="1" si="17"/>
        <v>1000</v>
      </c>
      <c r="G29">
        <f t="shared" ca="1" si="17"/>
        <v>12</v>
      </c>
      <c r="H29">
        <f t="shared" ca="1" si="17"/>
        <v>1000</v>
      </c>
      <c r="I29">
        <f t="shared" ca="1" si="17"/>
        <v>1000</v>
      </c>
      <c r="K29">
        <f ca="1">RANK(E29,E$18:E$72,-1)+COUNTIF(E$18:E29,E29)-1</f>
        <v>12</v>
      </c>
      <c r="L29">
        <f ca="1">RANK(F29,F$18:F$72,-1)+COUNTIF(F$18:F29,F29)-1</f>
        <v>17</v>
      </c>
      <c r="M29">
        <f ca="1">RANK(G29,G$18:G$72,-1)+COUNTIF(G$18:G29,G29)-1</f>
        <v>5</v>
      </c>
      <c r="N29">
        <f ca="1">RANK(H29,H$18:H$72,-1)+COUNTIF(H$18:H29,H29)-1</f>
        <v>26</v>
      </c>
      <c r="O29">
        <f ca="1">RANK(I29,I$18:I$72,-1)+COUNTIF(I$18:I29,I29)-1</f>
        <v>15</v>
      </c>
      <c r="Q29">
        <f t="shared" ca="1" si="7"/>
        <v>12</v>
      </c>
      <c r="R29">
        <f t="shared" ca="1" si="8"/>
        <v>7</v>
      </c>
      <c r="S29">
        <f t="shared" ca="1" si="9"/>
        <v>22</v>
      </c>
      <c r="T29">
        <f t="shared" ca="1" si="10"/>
        <v>38</v>
      </c>
      <c r="U29">
        <f t="shared" ca="1" si="11"/>
        <v>9</v>
      </c>
      <c r="W29">
        <f t="shared" ca="1" si="12"/>
        <v>1000</v>
      </c>
      <c r="X29">
        <f t="shared" ca="1" si="13"/>
        <v>1000</v>
      </c>
      <c r="Y29">
        <f t="shared" ca="1" si="14"/>
        <v>22</v>
      </c>
      <c r="Z29">
        <f t="shared" ca="1" si="15"/>
        <v>38</v>
      </c>
      <c r="AA29">
        <f t="shared" ca="1" si="16"/>
        <v>1000</v>
      </c>
      <c r="AC29" t="str">
        <f t="shared" ca="1" si="2"/>
        <v/>
      </c>
      <c r="AD29" t="str">
        <f t="shared" ca="1" si="3"/>
        <v/>
      </c>
      <c r="AE29" t="str">
        <f t="shared" ca="1" si="4"/>
        <v>Haiti</v>
      </c>
      <c r="AF29" t="str">
        <f t="shared" ca="1" si="5"/>
        <v>Pakistan</v>
      </c>
      <c r="AG29" t="str">
        <f t="shared" ca="1" si="6"/>
        <v/>
      </c>
      <c r="AI29" t="str">
        <f ca="1">IF(W29=1000,"",INDEX(tblCountries!$H$3:$H$57,W29))</f>
        <v/>
      </c>
      <c r="AJ29" t="str">
        <f ca="1">IF(X29=1000,"",INDEX(tblCountries!$H$3:$H$57,X29))</f>
        <v/>
      </c>
      <c r="AK29">
        <f ca="1">IF(Y29=1000,"",INDEX(tblCountries!$H$3:$H$57,Y29))</f>
        <v>2</v>
      </c>
      <c r="AL29">
        <f ca="1">IF(Z29=1000,"",INDEX(tblCountries!$H$3:$H$57,Z29))</f>
        <v>2</v>
      </c>
      <c r="AM29" t="str">
        <f ca="1">IF(AA29=1000,"",INDEX(tblCountries!$H$3:$H$57,AA29))</f>
        <v/>
      </c>
    </row>
    <row r="30" spans="1:39">
      <c r="A30">
        <v>13</v>
      </c>
      <c r="B30">
        <f ca="1">tblCountries!H15</f>
        <v>2</v>
      </c>
      <c r="C30">
        <f t="shared" ca="1" si="0"/>
        <v>2</v>
      </c>
      <c r="E30">
        <f t="shared" ca="1" si="17"/>
        <v>1000</v>
      </c>
      <c r="F30">
        <f t="shared" ca="1" si="17"/>
        <v>1000</v>
      </c>
      <c r="G30">
        <f t="shared" ca="1" si="17"/>
        <v>13</v>
      </c>
      <c r="H30">
        <f t="shared" ca="1" si="17"/>
        <v>1000</v>
      </c>
      <c r="I30">
        <f t="shared" ca="1" si="17"/>
        <v>1000</v>
      </c>
      <c r="K30">
        <f ca="1">RANK(E30,E$18:E$72,-1)+COUNTIF(E$18:E30,E30)-1</f>
        <v>13</v>
      </c>
      <c r="L30">
        <f ca="1">RANK(F30,F$18:F$72,-1)+COUNTIF(F$18:F30,F30)-1</f>
        <v>18</v>
      </c>
      <c r="M30">
        <f ca="1">RANK(G30,G$18:G$72,-1)+COUNTIF(G$18:G30,G30)-1</f>
        <v>6</v>
      </c>
      <c r="N30">
        <f ca="1">RANK(H30,H$18:H$72,-1)+COUNTIF(H$18:H30,H30)-1</f>
        <v>27</v>
      </c>
      <c r="O30">
        <f ca="1">RANK(I30,I$18:I$72,-1)+COUNTIF(I$18:I30,I30)-1</f>
        <v>16</v>
      </c>
      <c r="Q30">
        <f t="shared" ca="1" si="7"/>
        <v>13</v>
      </c>
      <c r="R30">
        <f t="shared" ca="1" si="8"/>
        <v>8</v>
      </c>
      <c r="S30">
        <f t="shared" ca="1" si="9"/>
        <v>23</v>
      </c>
      <c r="T30">
        <f t="shared" ca="1" si="10"/>
        <v>39</v>
      </c>
      <c r="U30">
        <f t="shared" ca="1" si="11"/>
        <v>10</v>
      </c>
      <c r="W30">
        <f t="shared" ca="1" si="12"/>
        <v>1000</v>
      </c>
      <c r="X30">
        <f t="shared" ca="1" si="13"/>
        <v>1000</v>
      </c>
      <c r="Y30">
        <f t="shared" ca="1" si="14"/>
        <v>23</v>
      </c>
      <c r="Z30">
        <f t="shared" ca="1" si="15"/>
        <v>39</v>
      </c>
      <c r="AA30">
        <f t="shared" ca="1" si="16"/>
        <v>1000</v>
      </c>
      <c r="AC30" t="str">
        <f t="shared" ca="1" si="2"/>
        <v/>
      </c>
      <c r="AD30" t="str">
        <f t="shared" ca="1" si="3"/>
        <v/>
      </c>
      <c r="AE30" t="str">
        <f t="shared" ca="1" si="4"/>
        <v>Honduras</v>
      </c>
      <c r="AF30" t="str">
        <f t="shared" ca="1" si="5"/>
        <v>Panama</v>
      </c>
      <c r="AG30" t="str">
        <f t="shared" ca="1" si="6"/>
        <v/>
      </c>
      <c r="AI30" t="str">
        <f ca="1">IF(W30=1000,"",INDEX(tblCountries!$H$3:$H$57,W30))</f>
        <v/>
      </c>
      <c r="AJ30" t="str">
        <f ca="1">IF(X30=1000,"",INDEX(tblCountries!$H$3:$H$57,X30))</f>
        <v/>
      </c>
      <c r="AK30">
        <f ca="1">IF(Y30=1000,"",INDEX(tblCountries!$H$3:$H$57,Y30))</f>
        <v>2</v>
      </c>
      <c r="AL30">
        <f ca="1">IF(Z30=1000,"",INDEX(tblCountries!$H$3:$H$57,Z30))</f>
        <v>2</v>
      </c>
      <c r="AM30" t="str">
        <f ca="1">IF(AA30=1000,"",INDEX(tblCountries!$H$3:$H$57,AA30))</f>
        <v/>
      </c>
    </row>
    <row r="31" spans="1:39">
      <c r="A31">
        <v>14</v>
      </c>
      <c r="B31">
        <f ca="1">tblCountries!H16</f>
        <v>2</v>
      </c>
      <c r="C31">
        <f t="shared" ca="1" si="0"/>
        <v>2</v>
      </c>
      <c r="E31">
        <f t="shared" ca="1" si="17"/>
        <v>1000</v>
      </c>
      <c r="F31">
        <f t="shared" ca="1" si="17"/>
        <v>1000</v>
      </c>
      <c r="G31">
        <f t="shared" ca="1" si="17"/>
        <v>14</v>
      </c>
      <c r="H31">
        <f t="shared" ca="1" si="17"/>
        <v>1000</v>
      </c>
      <c r="I31">
        <f t="shared" ca="1" si="17"/>
        <v>1000</v>
      </c>
      <c r="K31">
        <f ca="1">RANK(E31,E$18:E$72,-1)+COUNTIF(E$18:E31,E31)-1</f>
        <v>14</v>
      </c>
      <c r="L31">
        <f ca="1">RANK(F31,F$18:F$72,-1)+COUNTIF(F$18:F31,F31)-1</f>
        <v>19</v>
      </c>
      <c r="M31">
        <f ca="1">RANK(G31,G$18:G$72,-1)+COUNTIF(G$18:G31,G31)-1</f>
        <v>7</v>
      </c>
      <c r="N31">
        <f ca="1">RANK(H31,H$18:H$72,-1)+COUNTIF(H$18:H31,H31)-1</f>
        <v>28</v>
      </c>
      <c r="O31">
        <f ca="1">RANK(I31,I$18:I$72,-1)+COUNTIF(I$18:I31,I31)-1</f>
        <v>17</v>
      </c>
      <c r="Q31">
        <f t="shared" ca="1" si="7"/>
        <v>14</v>
      </c>
      <c r="R31">
        <f t="shared" ca="1" si="8"/>
        <v>9</v>
      </c>
      <c r="S31">
        <f t="shared" ca="1" si="9"/>
        <v>25</v>
      </c>
      <c r="T31">
        <f t="shared" ca="1" si="10"/>
        <v>40</v>
      </c>
      <c r="U31">
        <f t="shared" ca="1" si="11"/>
        <v>11</v>
      </c>
      <c r="W31">
        <f t="shared" ca="1" si="12"/>
        <v>1000</v>
      </c>
      <c r="X31">
        <f t="shared" ca="1" si="13"/>
        <v>1000</v>
      </c>
      <c r="Y31">
        <f t="shared" ca="1" si="14"/>
        <v>25</v>
      </c>
      <c r="Z31">
        <f t="shared" ca="1" si="15"/>
        <v>40</v>
      </c>
      <c r="AA31">
        <f t="shared" ca="1" si="16"/>
        <v>1000</v>
      </c>
      <c r="AC31" t="str">
        <f t="shared" ca="1" si="2"/>
        <v/>
      </c>
      <c r="AD31" t="str">
        <f t="shared" ca="1" si="3"/>
        <v/>
      </c>
      <c r="AE31" t="str">
        <f t="shared" ca="1" si="4"/>
        <v>Indonesia</v>
      </c>
      <c r="AF31" t="str">
        <f t="shared" ca="1" si="5"/>
        <v>Paraguay</v>
      </c>
      <c r="AG31" t="str">
        <f t="shared" ca="1" si="6"/>
        <v/>
      </c>
      <c r="AI31" t="str">
        <f ca="1">IF(W31=1000,"",INDEX(tblCountries!$H$3:$H$57,W31))</f>
        <v/>
      </c>
      <c r="AJ31" t="str">
        <f ca="1">IF(X31=1000,"",INDEX(tblCountries!$H$3:$H$57,X31))</f>
        <v/>
      </c>
      <c r="AK31">
        <f ca="1">IF(Y31=1000,"",INDEX(tblCountries!$H$3:$H$57,Y31))</f>
        <v>2</v>
      </c>
      <c r="AL31">
        <f ca="1">IF(Z31=1000,"",INDEX(tblCountries!$H$3:$H$57,Z31))</f>
        <v>2</v>
      </c>
      <c r="AM31" t="str">
        <f ca="1">IF(AA31=1000,"",INDEX(tblCountries!$H$3:$H$57,AA31))</f>
        <v/>
      </c>
    </row>
    <row r="32" spans="1:39">
      <c r="A32">
        <v>15</v>
      </c>
      <c r="B32">
        <f ca="1">tblCountries!H17</f>
        <v>2</v>
      </c>
      <c r="C32">
        <f t="shared" ca="1" si="0"/>
        <v>2</v>
      </c>
      <c r="E32">
        <f t="shared" ca="1" si="17"/>
        <v>1000</v>
      </c>
      <c r="F32">
        <f t="shared" ca="1" si="17"/>
        <v>1000</v>
      </c>
      <c r="G32">
        <f t="shared" ca="1" si="17"/>
        <v>15</v>
      </c>
      <c r="H32">
        <f t="shared" ca="1" si="17"/>
        <v>1000</v>
      </c>
      <c r="I32">
        <f t="shared" ca="1" si="17"/>
        <v>1000</v>
      </c>
      <c r="K32">
        <f ca="1">RANK(E32,E$18:E$72,-1)+COUNTIF(E$18:E32,E32)-1</f>
        <v>15</v>
      </c>
      <c r="L32">
        <f ca="1">RANK(F32,F$18:F$72,-1)+COUNTIF(F$18:F32,F32)-1</f>
        <v>20</v>
      </c>
      <c r="M32">
        <f ca="1">RANK(G32,G$18:G$72,-1)+COUNTIF(G$18:G32,G32)-1</f>
        <v>8</v>
      </c>
      <c r="N32">
        <f ca="1">RANK(H32,H$18:H$72,-1)+COUNTIF(H$18:H32,H32)-1</f>
        <v>29</v>
      </c>
      <c r="O32">
        <f ca="1">RANK(I32,I$18:I$72,-1)+COUNTIF(I$18:I32,I32)-1</f>
        <v>18</v>
      </c>
      <c r="Q32">
        <f t="shared" ca="1" si="7"/>
        <v>15</v>
      </c>
      <c r="R32">
        <f t="shared" ca="1" si="8"/>
        <v>10</v>
      </c>
      <c r="S32">
        <f t="shared" ca="1" si="9"/>
        <v>29</v>
      </c>
      <c r="T32">
        <f t="shared" ca="1" si="10"/>
        <v>41</v>
      </c>
      <c r="U32">
        <f t="shared" ca="1" si="11"/>
        <v>12</v>
      </c>
      <c r="W32">
        <f t="shared" ca="1" si="12"/>
        <v>1000</v>
      </c>
      <c r="X32">
        <f t="shared" ca="1" si="13"/>
        <v>1000</v>
      </c>
      <c r="Y32">
        <f t="shared" ca="1" si="14"/>
        <v>29</v>
      </c>
      <c r="Z32">
        <f t="shared" ca="1" si="15"/>
        <v>41</v>
      </c>
      <c r="AA32">
        <f t="shared" ca="1" si="16"/>
        <v>1000</v>
      </c>
      <c r="AC32" t="str">
        <f t="shared" ca="1" si="2"/>
        <v/>
      </c>
      <c r="AD32" t="str">
        <f t="shared" ca="1" si="3"/>
        <v/>
      </c>
      <c r="AE32" t="str">
        <f t="shared" ca="1" si="4"/>
        <v>Lebanon</v>
      </c>
      <c r="AF32" t="str">
        <f t="shared" ca="1" si="5"/>
        <v>Peru</v>
      </c>
      <c r="AG32" t="str">
        <f t="shared" ca="1" si="6"/>
        <v/>
      </c>
      <c r="AI32" t="str">
        <f ca="1">IF(W32=1000,"",INDEX(tblCountries!$H$3:$H$57,W32))</f>
        <v/>
      </c>
      <c r="AJ32" t="str">
        <f ca="1">IF(X32=1000,"",INDEX(tblCountries!$H$3:$H$57,X32))</f>
        <v/>
      </c>
      <c r="AK32">
        <f ca="1">IF(Y32=1000,"",INDEX(tblCountries!$H$3:$H$57,Y32))</f>
        <v>2</v>
      </c>
      <c r="AL32">
        <f ca="1">IF(Z32=1000,"",INDEX(tblCountries!$H$3:$H$57,Z32))</f>
        <v>2</v>
      </c>
      <c r="AM32" t="str">
        <f ca="1">IF(AA32=1000,"",INDEX(tblCountries!$H$3:$H$57,AA32))</f>
        <v/>
      </c>
    </row>
    <row r="33" spans="1:39">
      <c r="A33">
        <v>16</v>
      </c>
      <c r="B33">
        <f ca="1">tblCountries!H18</f>
        <v>2</v>
      </c>
      <c r="C33">
        <f t="shared" ca="1" si="0"/>
        <v>2</v>
      </c>
      <c r="E33">
        <f t="shared" ca="1" si="17"/>
        <v>1000</v>
      </c>
      <c r="F33">
        <f t="shared" ca="1" si="17"/>
        <v>1000</v>
      </c>
      <c r="G33">
        <f t="shared" ca="1" si="17"/>
        <v>16</v>
      </c>
      <c r="H33">
        <f t="shared" ca="1" si="17"/>
        <v>1000</v>
      </c>
      <c r="I33">
        <f t="shared" ca="1" si="17"/>
        <v>1000</v>
      </c>
      <c r="K33">
        <f ca="1">RANK(E33,E$18:E$72,-1)+COUNTIF(E$18:E33,E33)-1</f>
        <v>16</v>
      </c>
      <c r="L33">
        <f ca="1">RANK(F33,F$18:F$72,-1)+COUNTIF(F$18:F33,F33)-1</f>
        <v>21</v>
      </c>
      <c r="M33">
        <f ca="1">RANK(G33,G$18:G$72,-1)+COUNTIF(G$18:G33,G33)-1</f>
        <v>9</v>
      </c>
      <c r="N33">
        <f ca="1">RANK(H33,H$18:H$72,-1)+COUNTIF(H$18:H33,H33)-1</f>
        <v>30</v>
      </c>
      <c r="O33">
        <f ca="1">RANK(I33,I$18:I$72,-1)+COUNTIF(I$18:I33,I33)-1</f>
        <v>19</v>
      </c>
      <c r="Q33">
        <f t="shared" ca="1" si="7"/>
        <v>16</v>
      </c>
      <c r="R33">
        <f t="shared" ca="1" si="8"/>
        <v>11</v>
      </c>
      <c r="S33">
        <f t="shared" ca="1" si="9"/>
        <v>30</v>
      </c>
      <c r="T33">
        <f t="shared" ca="1" si="10"/>
        <v>43</v>
      </c>
      <c r="U33">
        <f t="shared" ca="1" si="11"/>
        <v>13</v>
      </c>
      <c r="W33">
        <f t="shared" ca="1" si="12"/>
        <v>1000</v>
      </c>
      <c r="X33">
        <f t="shared" ca="1" si="13"/>
        <v>1000</v>
      </c>
      <c r="Y33">
        <f t="shared" ca="1" si="14"/>
        <v>30</v>
      </c>
      <c r="Z33">
        <f t="shared" ca="1" si="15"/>
        <v>43</v>
      </c>
      <c r="AA33">
        <f t="shared" ca="1" si="16"/>
        <v>1000</v>
      </c>
      <c r="AC33" t="str">
        <f t="shared" ca="1" si="2"/>
        <v/>
      </c>
      <c r="AD33" t="str">
        <f t="shared" ca="1" si="3"/>
        <v/>
      </c>
      <c r="AE33" t="str">
        <f t="shared" ca="1" si="4"/>
        <v>Madagascar</v>
      </c>
      <c r="AF33" t="str">
        <f t="shared" ca="1" si="5"/>
        <v>Rwanda</v>
      </c>
      <c r="AG33" t="str">
        <f t="shared" ca="1" si="6"/>
        <v/>
      </c>
      <c r="AI33" t="str">
        <f ca="1">IF(W33=1000,"",INDEX(tblCountries!$H$3:$H$57,W33))</f>
        <v/>
      </c>
      <c r="AJ33" t="str">
        <f ca="1">IF(X33=1000,"",INDEX(tblCountries!$H$3:$H$57,X33))</f>
        <v/>
      </c>
      <c r="AK33">
        <f ca="1">IF(Y33=1000,"",INDEX(tblCountries!$H$3:$H$57,Y33))</f>
        <v>2</v>
      </c>
      <c r="AL33">
        <f ca="1">IF(Z33=1000,"",INDEX(tblCountries!$H$3:$H$57,Z33))</f>
        <v>2</v>
      </c>
      <c r="AM33" t="str">
        <f ca="1">IF(AA33=1000,"",INDEX(tblCountries!$H$3:$H$57,AA33))</f>
        <v/>
      </c>
    </row>
    <row r="34" spans="1:39">
      <c r="A34">
        <v>17</v>
      </c>
      <c r="B34">
        <f ca="1">tblCountries!H19</f>
        <v>2</v>
      </c>
      <c r="C34">
        <f t="shared" ca="1" si="0"/>
        <v>2</v>
      </c>
      <c r="E34">
        <f t="shared" ca="1" si="17"/>
        <v>1000</v>
      </c>
      <c r="F34">
        <f t="shared" ca="1" si="17"/>
        <v>1000</v>
      </c>
      <c r="G34">
        <f t="shared" ca="1" si="17"/>
        <v>17</v>
      </c>
      <c r="H34">
        <f t="shared" ca="1" si="17"/>
        <v>1000</v>
      </c>
      <c r="I34">
        <f t="shared" ca="1" si="17"/>
        <v>1000</v>
      </c>
      <c r="K34">
        <f ca="1">RANK(E34,E$18:E$72,-1)+COUNTIF(E$18:E34,E34)-1</f>
        <v>17</v>
      </c>
      <c r="L34">
        <f ca="1">RANK(F34,F$18:F$72,-1)+COUNTIF(F$18:F34,F34)-1</f>
        <v>22</v>
      </c>
      <c r="M34">
        <f ca="1">RANK(G34,G$18:G$72,-1)+COUNTIF(G$18:G34,G34)-1</f>
        <v>10</v>
      </c>
      <c r="N34">
        <f ca="1">RANK(H34,H$18:H$72,-1)+COUNTIF(H$18:H34,H34)-1</f>
        <v>31</v>
      </c>
      <c r="O34">
        <f ca="1">RANK(I34,I$18:I$72,-1)+COUNTIF(I$18:I34,I34)-1</f>
        <v>20</v>
      </c>
      <c r="Q34">
        <f t="shared" ca="1" si="7"/>
        <v>17</v>
      </c>
      <c r="R34">
        <f t="shared" ca="1" si="8"/>
        <v>12</v>
      </c>
      <c r="S34">
        <f t="shared" ca="1" si="9"/>
        <v>31</v>
      </c>
      <c r="T34">
        <f t="shared" ca="1" si="10"/>
        <v>46</v>
      </c>
      <c r="U34">
        <f t="shared" ca="1" si="11"/>
        <v>14</v>
      </c>
      <c r="W34">
        <f t="shared" ca="1" si="12"/>
        <v>1000</v>
      </c>
      <c r="X34">
        <f t="shared" ca="1" si="13"/>
        <v>1000</v>
      </c>
      <c r="Y34">
        <f t="shared" ca="1" si="14"/>
        <v>31</v>
      </c>
      <c r="Z34">
        <f t="shared" ca="1" si="15"/>
        <v>46</v>
      </c>
      <c r="AA34">
        <f t="shared" ca="1" si="16"/>
        <v>1000</v>
      </c>
      <c r="AC34" t="str">
        <f t="shared" ca="1" si="2"/>
        <v/>
      </c>
      <c r="AD34" t="str">
        <f t="shared" ca="1" si="3"/>
        <v/>
      </c>
      <c r="AE34" t="str">
        <f t="shared" ca="1" si="4"/>
        <v>Mexico</v>
      </c>
      <c r="AF34" t="str">
        <f t="shared" ca="1" si="5"/>
        <v>Tajikistan</v>
      </c>
      <c r="AG34" t="str">
        <f t="shared" ca="1" si="6"/>
        <v/>
      </c>
      <c r="AI34" t="str">
        <f ca="1">IF(W34=1000,"",INDEX(tblCountries!$H$3:$H$57,W34))</f>
        <v/>
      </c>
      <c r="AJ34" t="str">
        <f ca="1">IF(X34=1000,"",INDEX(tblCountries!$H$3:$H$57,X34))</f>
        <v/>
      </c>
      <c r="AK34">
        <f ca="1">IF(Y34=1000,"",INDEX(tblCountries!$H$3:$H$57,Y34))</f>
        <v>2</v>
      </c>
      <c r="AL34">
        <f ca="1">IF(Z34=1000,"",INDEX(tblCountries!$H$3:$H$57,Z34))</f>
        <v>2</v>
      </c>
      <c r="AM34" t="str">
        <f ca="1">IF(AA34=1000,"",INDEX(tblCountries!$H$3:$H$57,AA34))</f>
        <v/>
      </c>
    </row>
    <row r="35" spans="1:39">
      <c r="A35">
        <v>18</v>
      </c>
      <c r="B35">
        <f ca="1">tblCountries!H20</f>
        <v>2</v>
      </c>
      <c r="C35">
        <f t="shared" ca="1" si="0"/>
        <v>2</v>
      </c>
      <c r="E35">
        <f t="shared" ca="1" si="17"/>
        <v>1000</v>
      </c>
      <c r="F35">
        <f t="shared" ca="1" si="17"/>
        <v>1000</v>
      </c>
      <c r="G35">
        <f t="shared" ca="1" si="17"/>
        <v>18</v>
      </c>
      <c r="H35">
        <f t="shared" ca="1" si="17"/>
        <v>1000</v>
      </c>
      <c r="I35">
        <f t="shared" ca="1" si="17"/>
        <v>1000</v>
      </c>
      <c r="K35">
        <f ca="1">RANK(E35,E$18:E$72,-1)+COUNTIF(E$18:E35,E35)-1</f>
        <v>18</v>
      </c>
      <c r="L35">
        <f ca="1">RANK(F35,F$18:F$72,-1)+COUNTIF(F$18:F35,F35)-1</f>
        <v>23</v>
      </c>
      <c r="M35">
        <f ca="1">RANK(G35,G$18:G$72,-1)+COUNTIF(G$18:G35,G35)-1</f>
        <v>11</v>
      </c>
      <c r="N35">
        <f ca="1">RANK(H35,H$18:H$72,-1)+COUNTIF(H$18:H35,H35)-1</f>
        <v>32</v>
      </c>
      <c r="O35">
        <f ca="1">RANK(I35,I$18:I$72,-1)+COUNTIF(I$18:I35,I35)-1</f>
        <v>21</v>
      </c>
      <c r="Q35">
        <f t="shared" ca="1" si="7"/>
        <v>18</v>
      </c>
      <c r="R35">
        <f t="shared" ca="1" si="8"/>
        <v>13</v>
      </c>
      <c r="S35">
        <f t="shared" ca="1" si="9"/>
        <v>33</v>
      </c>
      <c r="T35">
        <f t="shared" ca="1" si="10"/>
        <v>47</v>
      </c>
      <c r="U35">
        <f t="shared" ca="1" si="11"/>
        <v>15</v>
      </c>
      <c r="W35">
        <f t="shared" ca="1" si="12"/>
        <v>1000</v>
      </c>
      <c r="X35">
        <f t="shared" ca="1" si="13"/>
        <v>1000</v>
      </c>
      <c r="Y35">
        <f t="shared" ca="1" si="14"/>
        <v>33</v>
      </c>
      <c r="Z35">
        <f t="shared" ca="1" si="15"/>
        <v>47</v>
      </c>
      <c r="AA35">
        <f t="shared" ca="1" si="16"/>
        <v>1000</v>
      </c>
      <c r="AC35" t="str">
        <f t="shared" ca="1" si="2"/>
        <v/>
      </c>
      <c r="AD35" t="str">
        <f t="shared" ca="1" si="3"/>
        <v/>
      </c>
      <c r="AE35" t="str">
        <f t="shared" ca="1" si="4"/>
        <v>Morocco</v>
      </c>
      <c r="AF35" t="str">
        <f t="shared" ca="1" si="5"/>
        <v>Tanzania</v>
      </c>
      <c r="AG35" t="str">
        <f t="shared" ca="1" si="6"/>
        <v/>
      </c>
      <c r="AI35" t="str">
        <f ca="1">IF(W35=1000,"",INDEX(tblCountries!$H$3:$H$57,W35))</f>
        <v/>
      </c>
      <c r="AJ35" t="str">
        <f ca="1">IF(X35=1000,"",INDEX(tblCountries!$H$3:$H$57,X35))</f>
        <v/>
      </c>
      <c r="AK35">
        <f ca="1">IF(Y35=1000,"",INDEX(tblCountries!$H$3:$H$57,Y35))</f>
        <v>2</v>
      </c>
      <c r="AL35">
        <f ca="1">IF(Z35=1000,"",INDEX(tblCountries!$H$3:$H$57,Z35))</f>
        <v>2</v>
      </c>
      <c r="AM35" t="str">
        <f ca="1">IF(AA35=1000,"",INDEX(tblCountries!$H$3:$H$57,AA35))</f>
        <v/>
      </c>
    </row>
    <row r="36" spans="1:39">
      <c r="A36">
        <v>19</v>
      </c>
      <c r="B36">
        <f ca="1">tblCountries!H21</f>
        <v>2</v>
      </c>
      <c r="C36">
        <f t="shared" ca="1" si="0"/>
        <v>3</v>
      </c>
      <c r="E36">
        <f t="shared" ca="1" si="17"/>
        <v>1000</v>
      </c>
      <c r="F36">
        <f t="shared" ca="1" si="17"/>
        <v>1000</v>
      </c>
      <c r="G36">
        <f t="shared" ca="1" si="17"/>
        <v>1000</v>
      </c>
      <c r="H36">
        <f t="shared" ca="1" si="17"/>
        <v>19</v>
      </c>
      <c r="I36">
        <f t="shared" ca="1" si="17"/>
        <v>1000</v>
      </c>
      <c r="K36">
        <f ca="1">RANK(E36,E$18:E$72,-1)+COUNTIF(E$18:E36,E36)-1</f>
        <v>19</v>
      </c>
      <c r="L36">
        <f ca="1">RANK(F36,F$18:F$72,-1)+COUNTIF(F$18:F36,F36)-1</f>
        <v>24</v>
      </c>
      <c r="M36">
        <f ca="1">RANK(G36,G$18:G$72,-1)+COUNTIF(G$18:G36,G36)-1</f>
        <v>34</v>
      </c>
      <c r="N36">
        <f ca="1">RANK(H36,H$18:H$72,-1)+COUNTIF(H$18:H36,H36)-1</f>
        <v>6</v>
      </c>
      <c r="O36">
        <f ca="1">RANK(I36,I$18:I$72,-1)+COUNTIF(I$18:I36,I36)-1</f>
        <v>22</v>
      </c>
      <c r="Q36">
        <f t="shared" ca="1" si="7"/>
        <v>19</v>
      </c>
      <c r="R36">
        <f t="shared" ca="1" si="8"/>
        <v>14</v>
      </c>
      <c r="S36">
        <f t="shared" ca="1" si="9"/>
        <v>34</v>
      </c>
      <c r="T36">
        <f t="shared" ca="1" si="10"/>
        <v>55</v>
      </c>
      <c r="U36">
        <f t="shared" ca="1" si="11"/>
        <v>16</v>
      </c>
      <c r="W36">
        <f t="shared" ca="1" si="12"/>
        <v>1000</v>
      </c>
      <c r="X36">
        <f t="shared" ca="1" si="13"/>
        <v>1000</v>
      </c>
      <c r="Y36">
        <f t="shared" ca="1" si="14"/>
        <v>34</v>
      </c>
      <c r="Z36">
        <f t="shared" ca="1" si="15"/>
        <v>55</v>
      </c>
      <c r="AA36">
        <f t="shared" ca="1" si="16"/>
        <v>1000</v>
      </c>
      <c r="AC36" t="str">
        <f t="shared" ca="1" si="2"/>
        <v/>
      </c>
      <c r="AD36" t="str">
        <f t="shared" ca="1" si="3"/>
        <v/>
      </c>
      <c r="AE36" t="str">
        <f t="shared" ca="1" si="4"/>
        <v>Mozambique</v>
      </c>
      <c r="AF36" t="str">
        <f t="shared" ca="1" si="5"/>
        <v>Yemen</v>
      </c>
      <c r="AG36" t="str">
        <f t="shared" ca="1" si="6"/>
        <v/>
      </c>
      <c r="AI36" t="str">
        <f ca="1">IF(W36=1000,"",INDEX(tblCountries!$H$3:$H$57,W36))</f>
        <v/>
      </c>
      <c r="AJ36" t="str">
        <f ca="1">IF(X36=1000,"",INDEX(tblCountries!$H$3:$H$57,X36))</f>
        <v/>
      </c>
      <c r="AK36">
        <f ca="1">IF(Y36=1000,"",INDEX(tblCountries!$H$3:$H$57,Y36))</f>
        <v>2</v>
      </c>
      <c r="AL36">
        <f ca="1">IF(Z36=1000,"",INDEX(tblCountries!$H$3:$H$57,Z36))</f>
        <v>2</v>
      </c>
      <c r="AM36" t="str">
        <f ca="1">IF(AA36=1000,"",INDEX(tblCountries!$H$3:$H$57,AA36))</f>
        <v/>
      </c>
    </row>
    <row r="37" spans="1:39">
      <c r="A37">
        <v>20</v>
      </c>
      <c r="B37">
        <f ca="1">tblCountries!H22</f>
        <v>2</v>
      </c>
      <c r="C37">
        <f t="shared" ca="1" si="0"/>
        <v>3</v>
      </c>
      <c r="E37">
        <f t="shared" ca="1" si="17"/>
        <v>1000</v>
      </c>
      <c r="F37">
        <f t="shared" ca="1" si="17"/>
        <v>1000</v>
      </c>
      <c r="G37">
        <f t="shared" ca="1" si="17"/>
        <v>1000</v>
      </c>
      <c r="H37">
        <f t="shared" ca="1" si="17"/>
        <v>20</v>
      </c>
      <c r="I37">
        <f t="shared" ca="1" si="17"/>
        <v>1000</v>
      </c>
      <c r="K37">
        <f ca="1">RANK(E37,E$18:E$72,-1)+COUNTIF(E$18:E37,E37)-1</f>
        <v>20</v>
      </c>
      <c r="L37">
        <f ca="1">RANK(F37,F$18:F$72,-1)+COUNTIF(F$18:F37,F37)-1</f>
        <v>25</v>
      </c>
      <c r="M37">
        <f ca="1">RANK(G37,G$18:G$72,-1)+COUNTIF(G$18:G37,G37)-1</f>
        <v>35</v>
      </c>
      <c r="N37">
        <f ca="1">RANK(H37,H$18:H$72,-1)+COUNTIF(H$18:H37,H37)-1</f>
        <v>7</v>
      </c>
      <c r="O37">
        <f ca="1">RANK(I37,I$18:I$72,-1)+COUNTIF(I$18:I37,I37)-1</f>
        <v>23</v>
      </c>
      <c r="Q37">
        <f t="shared" ca="1" si="7"/>
        <v>20</v>
      </c>
      <c r="R37">
        <f t="shared" ca="1" si="8"/>
        <v>15</v>
      </c>
      <c r="S37">
        <f t="shared" ca="1" si="9"/>
        <v>35</v>
      </c>
      <c r="T37">
        <f t="shared" ca="1" si="10"/>
        <v>1</v>
      </c>
      <c r="U37">
        <f t="shared" ca="1" si="11"/>
        <v>17</v>
      </c>
      <c r="W37">
        <f t="shared" ca="1" si="12"/>
        <v>1000</v>
      </c>
      <c r="X37">
        <f t="shared" ca="1" si="13"/>
        <v>1000</v>
      </c>
      <c r="Y37">
        <f t="shared" ca="1" si="14"/>
        <v>35</v>
      </c>
      <c r="Z37">
        <f t="shared" ca="1" si="15"/>
        <v>1000</v>
      </c>
      <c r="AA37">
        <f t="shared" ca="1" si="16"/>
        <v>1000</v>
      </c>
      <c r="AC37" t="str">
        <f t="shared" ca="1" si="2"/>
        <v/>
      </c>
      <c r="AD37" t="str">
        <f t="shared" ca="1" si="3"/>
        <v/>
      </c>
      <c r="AE37" t="str">
        <f t="shared" ca="1" si="4"/>
        <v>Nepal</v>
      </c>
      <c r="AF37" t="str">
        <f t="shared" ca="1" si="5"/>
        <v/>
      </c>
      <c r="AG37" t="str">
        <f t="shared" ca="1" si="6"/>
        <v/>
      </c>
      <c r="AI37" t="str">
        <f ca="1">IF(W37=1000,"",INDEX(tblCountries!$H$3:$H$57,W37))</f>
        <v/>
      </c>
      <c r="AJ37" t="str">
        <f ca="1">IF(X37=1000,"",INDEX(tblCountries!$H$3:$H$57,X37))</f>
        <v/>
      </c>
      <c r="AK37">
        <f ca="1">IF(Y37=1000,"",INDEX(tblCountries!$H$3:$H$57,Y37))</f>
        <v>2</v>
      </c>
      <c r="AL37" t="str">
        <f ca="1">IF(Z37=1000,"",INDEX(tblCountries!$H$3:$H$57,Z37))</f>
        <v/>
      </c>
      <c r="AM37" t="str">
        <f ca="1">IF(AA37=1000,"",INDEX(tblCountries!$H$3:$H$57,AA37))</f>
        <v/>
      </c>
    </row>
    <row r="38" spans="1:39">
      <c r="A38">
        <v>21</v>
      </c>
      <c r="B38">
        <f ca="1">tblCountries!H23</f>
        <v>2</v>
      </c>
      <c r="C38">
        <f t="shared" ca="1" si="0"/>
        <v>3</v>
      </c>
      <c r="E38">
        <f t="shared" ref="E38:I47" ca="1" si="18">IF($B38=0,1000,IF(AND($C38&gt;=E$16,$C38&lt;F$16),$A38,1000))</f>
        <v>1000</v>
      </c>
      <c r="F38">
        <f t="shared" ca="1" si="18"/>
        <v>1000</v>
      </c>
      <c r="G38">
        <f t="shared" ca="1" si="18"/>
        <v>1000</v>
      </c>
      <c r="H38">
        <f t="shared" ca="1" si="18"/>
        <v>21</v>
      </c>
      <c r="I38">
        <f t="shared" ca="1" si="18"/>
        <v>1000</v>
      </c>
      <c r="K38">
        <f ca="1">RANK(E38,E$18:E$72,-1)+COUNTIF(E$18:E38,E38)-1</f>
        <v>21</v>
      </c>
      <c r="L38">
        <f ca="1">RANK(F38,F$18:F$72,-1)+COUNTIF(F$18:F38,F38)-1</f>
        <v>26</v>
      </c>
      <c r="M38">
        <f ca="1">RANK(G38,G$18:G$72,-1)+COUNTIF(G$18:G38,G38)-1</f>
        <v>36</v>
      </c>
      <c r="N38">
        <f ca="1">RANK(H38,H$18:H$72,-1)+COUNTIF(H$18:H38,H38)-1</f>
        <v>8</v>
      </c>
      <c r="O38">
        <f ca="1">RANK(I38,I$18:I$72,-1)+COUNTIF(I$18:I38,I38)-1</f>
        <v>24</v>
      </c>
      <c r="Q38">
        <f t="shared" ca="1" si="7"/>
        <v>21</v>
      </c>
      <c r="R38">
        <f t="shared" ca="1" si="8"/>
        <v>16</v>
      </c>
      <c r="S38">
        <f t="shared" ca="1" si="9"/>
        <v>36</v>
      </c>
      <c r="T38">
        <f t="shared" ca="1" si="10"/>
        <v>4</v>
      </c>
      <c r="U38">
        <f t="shared" ca="1" si="11"/>
        <v>18</v>
      </c>
      <c r="W38">
        <f t="shared" ca="1" si="12"/>
        <v>1000</v>
      </c>
      <c r="X38">
        <f t="shared" ca="1" si="13"/>
        <v>1000</v>
      </c>
      <c r="Y38">
        <f t="shared" ca="1" si="14"/>
        <v>36</v>
      </c>
      <c r="Z38">
        <f t="shared" ca="1" si="15"/>
        <v>1000</v>
      </c>
      <c r="AA38">
        <f t="shared" ca="1" si="16"/>
        <v>1000</v>
      </c>
      <c r="AC38" t="str">
        <f t="shared" ca="1" si="2"/>
        <v/>
      </c>
      <c r="AD38" t="str">
        <f t="shared" ca="1" si="3"/>
        <v/>
      </c>
      <c r="AE38" t="str">
        <f t="shared" ca="1" si="4"/>
        <v>Nicaragua</v>
      </c>
      <c r="AF38" t="str">
        <f t="shared" ca="1" si="5"/>
        <v/>
      </c>
      <c r="AG38" t="str">
        <f t="shared" ca="1" si="6"/>
        <v/>
      </c>
      <c r="AI38" t="str">
        <f ca="1">IF(W38=1000,"",INDEX(tblCountries!$H$3:$H$57,W38))</f>
        <v/>
      </c>
      <c r="AJ38" t="str">
        <f ca="1">IF(X38=1000,"",INDEX(tblCountries!$H$3:$H$57,X38))</f>
        <v/>
      </c>
      <c r="AK38">
        <f ca="1">IF(Y38=1000,"",INDEX(tblCountries!$H$3:$H$57,Y38))</f>
        <v>2</v>
      </c>
      <c r="AL38" t="str">
        <f ca="1">IF(Z38=1000,"",INDEX(tblCountries!$H$3:$H$57,Z38))</f>
        <v/>
      </c>
      <c r="AM38" t="str">
        <f ca="1">IF(AA38=1000,"",INDEX(tblCountries!$H$3:$H$57,AA38))</f>
        <v/>
      </c>
    </row>
    <row r="39" spans="1:39">
      <c r="A39">
        <v>22</v>
      </c>
      <c r="B39">
        <f ca="1">tblCountries!H24</f>
        <v>2</v>
      </c>
      <c r="C39">
        <f t="shared" ca="1" si="0"/>
        <v>2</v>
      </c>
      <c r="E39">
        <f t="shared" ca="1" si="18"/>
        <v>1000</v>
      </c>
      <c r="F39">
        <f t="shared" ca="1" si="18"/>
        <v>1000</v>
      </c>
      <c r="G39">
        <f t="shared" ca="1" si="18"/>
        <v>22</v>
      </c>
      <c r="H39">
        <f t="shared" ca="1" si="18"/>
        <v>1000</v>
      </c>
      <c r="I39">
        <f t="shared" ca="1" si="18"/>
        <v>1000</v>
      </c>
      <c r="K39">
        <f ca="1">RANK(E39,E$18:E$72,-1)+COUNTIF(E$18:E39,E39)-1</f>
        <v>22</v>
      </c>
      <c r="L39">
        <f ca="1">RANK(F39,F$18:F$72,-1)+COUNTIF(F$18:F39,F39)-1</f>
        <v>27</v>
      </c>
      <c r="M39">
        <f ca="1">RANK(G39,G$18:G$72,-1)+COUNTIF(G$18:G39,G39)-1</f>
        <v>12</v>
      </c>
      <c r="N39">
        <f ca="1">RANK(H39,H$18:H$72,-1)+COUNTIF(H$18:H39,H39)-1</f>
        <v>33</v>
      </c>
      <c r="O39">
        <f ca="1">RANK(I39,I$18:I$72,-1)+COUNTIF(I$18:I39,I39)-1</f>
        <v>25</v>
      </c>
      <c r="Q39">
        <f t="shared" ca="1" si="7"/>
        <v>22</v>
      </c>
      <c r="R39">
        <f t="shared" ca="1" si="8"/>
        <v>17</v>
      </c>
      <c r="S39">
        <f t="shared" ca="1" si="9"/>
        <v>37</v>
      </c>
      <c r="T39">
        <f t="shared" ca="1" si="10"/>
        <v>6</v>
      </c>
      <c r="U39">
        <f t="shared" ca="1" si="11"/>
        <v>19</v>
      </c>
      <c r="W39">
        <f t="shared" ca="1" si="12"/>
        <v>1000</v>
      </c>
      <c r="X39">
        <f t="shared" ca="1" si="13"/>
        <v>1000</v>
      </c>
      <c r="Y39">
        <f t="shared" ca="1" si="14"/>
        <v>37</v>
      </c>
      <c r="Z39">
        <f t="shared" ca="1" si="15"/>
        <v>1000</v>
      </c>
      <c r="AA39">
        <f t="shared" ca="1" si="16"/>
        <v>1000</v>
      </c>
      <c r="AC39" t="str">
        <f t="shared" ca="1" si="2"/>
        <v/>
      </c>
      <c r="AD39" t="str">
        <f t="shared" ca="1" si="3"/>
        <v/>
      </c>
      <c r="AE39" t="str">
        <f t="shared" ca="1" si="4"/>
        <v>Nigeria</v>
      </c>
      <c r="AF39" t="str">
        <f t="shared" ca="1" si="5"/>
        <v/>
      </c>
      <c r="AG39" t="str">
        <f t="shared" ca="1" si="6"/>
        <v/>
      </c>
      <c r="AI39" t="str">
        <f ca="1">IF(W39=1000,"",INDEX(tblCountries!$H$3:$H$57,W39))</f>
        <v/>
      </c>
      <c r="AJ39" t="str">
        <f ca="1">IF(X39=1000,"",INDEX(tblCountries!$H$3:$H$57,X39))</f>
        <v/>
      </c>
      <c r="AK39">
        <f ca="1">IF(Y39=1000,"",INDEX(tblCountries!$H$3:$H$57,Y39))</f>
        <v>2</v>
      </c>
      <c r="AL39" t="str">
        <f ca="1">IF(Z39=1000,"",INDEX(tblCountries!$H$3:$H$57,Z39))</f>
        <v/>
      </c>
      <c r="AM39" t="str">
        <f ca="1">IF(AA39=1000,"",INDEX(tblCountries!$H$3:$H$57,AA39))</f>
        <v/>
      </c>
    </row>
    <row r="40" spans="1:39">
      <c r="A40">
        <v>23</v>
      </c>
      <c r="B40">
        <f ca="1">tblCountries!H25</f>
        <v>2</v>
      </c>
      <c r="C40">
        <f t="shared" ca="1" si="0"/>
        <v>2</v>
      </c>
      <c r="E40">
        <f t="shared" ca="1" si="18"/>
        <v>1000</v>
      </c>
      <c r="F40">
        <f t="shared" ca="1" si="18"/>
        <v>1000</v>
      </c>
      <c r="G40">
        <f t="shared" ca="1" si="18"/>
        <v>23</v>
      </c>
      <c r="H40">
        <f t="shared" ca="1" si="18"/>
        <v>1000</v>
      </c>
      <c r="I40">
        <f t="shared" ca="1" si="18"/>
        <v>1000</v>
      </c>
      <c r="K40">
        <f ca="1">RANK(E40,E$18:E$72,-1)+COUNTIF(E$18:E40,E40)-1</f>
        <v>23</v>
      </c>
      <c r="L40">
        <f ca="1">RANK(F40,F$18:F$72,-1)+COUNTIF(F$18:F40,F40)-1</f>
        <v>28</v>
      </c>
      <c r="M40">
        <f ca="1">RANK(G40,G$18:G$72,-1)+COUNTIF(G$18:G40,G40)-1</f>
        <v>13</v>
      </c>
      <c r="N40">
        <f ca="1">RANK(H40,H$18:H$72,-1)+COUNTIF(H$18:H40,H40)-1</f>
        <v>34</v>
      </c>
      <c r="O40">
        <f ca="1">RANK(I40,I$18:I$72,-1)+COUNTIF(I$18:I40,I40)-1</f>
        <v>26</v>
      </c>
      <c r="Q40">
        <f t="shared" ca="1" si="7"/>
        <v>23</v>
      </c>
      <c r="R40">
        <f t="shared" ca="1" si="8"/>
        <v>18</v>
      </c>
      <c r="S40">
        <f t="shared" ca="1" si="9"/>
        <v>44</v>
      </c>
      <c r="T40">
        <f t="shared" ca="1" si="10"/>
        <v>7</v>
      </c>
      <c r="U40">
        <f t="shared" ca="1" si="11"/>
        <v>20</v>
      </c>
      <c r="W40">
        <f t="shared" ca="1" si="12"/>
        <v>1000</v>
      </c>
      <c r="X40">
        <f t="shared" ca="1" si="13"/>
        <v>1000</v>
      </c>
      <c r="Y40">
        <f t="shared" ca="1" si="14"/>
        <v>44</v>
      </c>
      <c r="Z40">
        <f t="shared" ca="1" si="15"/>
        <v>1000</v>
      </c>
      <c r="AA40">
        <f t="shared" ca="1" si="16"/>
        <v>1000</v>
      </c>
      <c r="AC40" t="str">
        <f t="shared" ca="1" si="2"/>
        <v/>
      </c>
      <c r="AD40" t="str">
        <f t="shared" ca="1" si="3"/>
        <v/>
      </c>
      <c r="AE40" t="str">
        <f t="shared" ca="1" si="4"/>
        <v>Senegal</v>
      </c>
      <c r="AF40" t="str">
        <f t="shared" ca="1" si="5"/>
        <v/>
      </c>
      <c r="AG40" t="str">
        <f t="shared" ca="1" si="6"/>
        <v/>
      </c>
      <c r="AI40" t="str">
        <f ca="1">IF(W40=1000,"",INDEX(tblCountries!$H$3:$H$57,W40))</f>
        <v/>
      </c>
      <c r="AJ40" t="str">
        <f ca="1">IF(X40=1000,"",INDEX(tblCountries!$H$3:$H$57,X40))</f>
        <v/>
      </c>
      <c r="AK40">
        <f ca="1">IF(Y40=1000,"",INDEX(tblCountries!$H$3:$H$57,Y40))</f>
        <v>2</v>
      </c>
      <c r="AL40" t="str">
        <f ca="1">IF(Z40=1000,"",INDEX(tblCountries!$H$3:$H$57,Z40))</f>
        <v/>
      </c>
      <c r="AM40" t="str">
        <f ca="1">IF(AA40=1000,"",INDEX(tblCountries!$H$3:$H$57,AA40))</f>
        <v/>
      </c>
    </row>
    <row r="41" spans="1:39">
      <c r="A41">
        <v>24</v>
      </c>
      <c r="B41">
        <f ca="1">tblCountries!H26</f>
        <v>2</v>
      </c>
      <c r="C41">
        <f t="shared" ca="1" si="0"/>
        <v>3</v>
      </c>
      <c r="E41">
        <f t="shared" ca="1" si="18"/>
        <v>1000</v>
      </c>
      <c r="F41">
        <f t="shared" ca="1" si="18"/>
        <v>1000</v>
      </c>
      <c r="G41">
        <f t="shared" ca="1" si="18"/>
        <v>1000</v>
      </c>
      <c r="H41">
        <f t="shared" ca="1" si="18"/>
        <v>24</v>
      </c>
      <c r="I41">
        <f t="shared" ca="1" si="18"/>
        <v>1000</v>
      </c>
      <c r="K41">
        <f ca="1">RANK(E41,E$18:E$72,-1)+COUNTIF(E$18:E41,E41)-1</f>
        <v>24</v>
      </c>
      <c r="L41">
        <f ca="1">RANK(F41,F$18:F$72,-1)+COUNTIF(F$18:F41,F41)-1</f>
        <v>29</v>
      </c>
      <c r="M41">
        <f ca="1">RANK(G41,G$18:G$72,-1)+COUNTIF(G$18:G41,G41)-1</f>
        <v>37</v>
      </c>
      <c r="N41">
        <f ca="1">RANK(H41,H$18:H$72,-1)+COUNTIF(H$18:H41,H41)-1</f>
        <v>9</v>
      </c>
      <c r="O41">
        <f ca="1">RANK(I41,I$18:I$72,-1)+COUNTIF(I$18:I41,I41)-1</f>
        <v>27</v>
      </c>
      <c r="Q41">
        <f t="shared" ca="1" si="7"/>
        <v>24</v>
      </c>
      <c r="R41">
        <f t="shared" ca="1" si="8"/>
        <v>19</v>
      </c>
      <c r="S41">
        <f t="shared" ca="1" si="9"/>
        <v>45</v>
      </c>
      <c r="T41">
        <f t="shared" ca="1" si="10"/>
        <v>8</v>
      </c>
      <c r="U41">
        <f t="shared" ca="1" si="11"/>
        <v>21</v>
      </c>
      <c r="W41">
        <f t="shared" ca="1" si="12"/>
        <v>1000</v>
      </c>
      <c r="X41">
        <f t="shared" ca="1" si="13"/>
        <v>1000</v>
      </c>
      <c r="Y41">
        <f t="shared" ca="1" si="14"/>
        <v>45</v>
      </c>
      <c r="Z41">
        <f t="shared" ca="1" si="15"/>
        <v>1000</v>
      </c>
      <c r="AA41">
        <f t="shared" ca="1" si="16"/>
        <v>1000</v>
      </c>
      <c r="AC41" t="str">
        <f t="shared" ca="1" si="2"/>
        <v/>
      </c>
      <c r="AD41" t="str">
        <f t="shared" ca="1" si="3"/>
        <v/>
      </c>
      <c r="AE41" t="str">
        <f t="shared" ca="1" si="4"/>
        <v>Sri Lanka</v>
      </c>
      <c r="AF41" t="str">
        <f t="shared" ca="1" si="5"/>
        <v/>
      </c>
      <c r="AG41" t="str">
        <f t="shared" ca="1" si="6"/>
        <v/>
      </c>
      <c r="AI41" t="str">
        <f ca="1">IF(W41=1000,"",INDEX(tblCountries!$H$3:$H$57,W41))</f>
        <v/>
      </c>
      <c r="AJ41" t="str">
        <f ca="1">IF(X41=1000,"",INDEX(tblCountries!$H$3:$H$57,X41))</f>
        <v/>
      </c>
      <c r="AK41">
        <f ca="1">IF(Y41=1000,"",INDEX(tblCountries!$H$3:$H$57,Y41))</f>
        <v>2</v>
      </c>
      <c r="AL41" t="str">
        <f ca="1">IF(Z41=1000,"",INDEX(tblCountries!$H$3:$H$57,Z41))</f>
        <v/>
      </c>
      <c r="AM41" t="str">
        <f ca="1">IF(AA41=1000,"",INDEX(tblCountries!$H$3:$H$57,AA41))</f>
        <v/>
      </c>
    </row>
    <row r="42" spans="1:39">
      <c r="A42">
        <v>25</v>
      </c>
      <c r="B42">
        <f ca="1">tblCountries!H27</f>
        <v>2</v>
      </c>
      <c r="C42">
        <f t="shared" ca="1" si="0"/>
        <v>2</v>
      </c>
      <c r="E42">
        <f t="shared" ca="1" si="18"/>
        <v>1000</v>
      </c>
      <c r="F42">
        <f t="shared" ca="1" si="18"/>
        <v>1000</v>
      </c>
      <c r="G42">
        <f t="shared" ca="1" si="18"/>
        <v>25</v>
      </c>
      <c r="H42">
        <f t="shared" ca="1" si="18"/>
        <v>1000</v>
      </c>
      <c r="I42">
        <f t="shared" ca="1" si="18"/>
        <v>1000</v>
      </c>
      <c r="K42">
        <f ca="1">RANK(E42,E$18:E$72,-1)+COUNTIF(E$18:E42,E42)-1</f>
        <v>25</v>
      </c>
      <c r="L42">
        <f ca="1">RANK(F42,F$18:F$72,-1)+COUNTIF(F$18:F42,F42)-1</f>
        <v>30</v>
      </c>
      <c r="M42">
        <f ca="1">RANK(G42,G$18:G$72,-1)+COUNTIF(G$18:G42,G42)-1</f>
        <v>14</v>
      </c>
      <c r="N42">
        <f ca="1">RANK(H42,H$18:H$72,-1)+COUNTIF(H$18:H42,H42)-1</f>
        <v>35</v>
      </c>
      <c r="O42">
        <f ca="1">RANK(I42,I$18:I$72,-1)+COUNTIF(I$18:I42,I42)-1</f>
        <v>28</v>
      </c>
      <c r="Q42">
        <f t="shared" ca="1" si="7"/>
        <v>25</v>
      </c>
      <c r="R42">
        <f t="shared" ca="1" si="8"/>
        <v>20</v>
      </c>
      <c r="S42">
        <f t="shared" ca="1" si="9"/>
        <v>50</v>
      </c>
      <c r="T42">
        <f t="shared" ca="1" si="10"/>
        <v>11</v>
      </c>
      <c r="U42">
        <f t="shared" ca="1" si="11"/>
        <v>22</v>
      </c>
      <c r="W42">
        <f t="shared" ca="1" si="12"/>
        <v>1000</v>
      </c>
      <c r="X42">
        <f t="shared" ca="1" si="13"/>
        <v>1000</v>
      </c>
      <c r="Y42">
        <f t="shared" ca="1" si="14"/>
        <v>50</v>
      </c>
      <c r="Z42">
        <f t="shared" ca="1" si="15"/>
        <v>1000</v>
      </c>
      <c r="AA42">
        <f t="shared" ca="1" si="16"/>
        <v>1000</v>
      </c>
      <c r="AC42" t="str">
        <f t="shared" ca="1" si="2"/>
        <v/>
      </c>
      <c r="AD42" t="str">
        <f t="shared" ca="1" si="3"/>
        <v/>
      </c>
      <c r="AE42" t="str">
        <f t="shared" ca="1" si="4"/>
        <v>Turkey</v>
      </c>
      <c r="AF42" t="str">
        <f t="shared" ca="1" si="5"/>
        <v/>
      </c>
      <c r="AG42" t="str">
        <f t="shared" ca="1" si="6"/>
        <v/>
      </c>
      <c r="AI42" t="str">
        <f ca="1">IF(W42=1000,"",INDEX(tblCountries!$H$3:$H$57,W42))</f>
        <v/>
      </c>
      <c r="AJ42" t="str">
        <f ca="1">IF(X42=1000,"",INDEX(tblCountries!$H$3:$H$57,X42))</f>
        <v/>
      </c>
      <c r="AK42">
        <f ca="1">IF(Y42=1000,"",INDEX(tblCountries!$H$3:$H$57,Y42))</f>
        <v>2</v>
      </c>
      <c r="AL42" t="str">
        <f ca="1">IF(Z42=1000,"",INDEX(tblCountries!$H$3:$H$57,Z42))</f>
        <v/>
      </c>
      <c r="AM42" t="str">
        <f ca="1">IF(AA42=1000,"",INDEX(tblCountries!$H$3:$H$57,AA42))</f>
        <v/>
      </c>
    </row>
    <row r="43" spans="1:39">
      <c r="A43">
        <v>26</v>
      </c>
      <c r="B43">
        <f ca="1">tblCountries!H28</f>
        <v>2</v>
      </c>
      <c r="C43">
        <f t="shared" ca="1" si="0"/>
        <v>1</v>
      </c>
      <c r="E43">
        <f t="shared" ca="1" si="18"/>
        <v>1000</v>
      </c>
      <c r="F43">
        <f t="shared" ca="1" si="18"/>
        <v>26</v>
      </c>
      <c r="G43">
        <f t="shared" ca="1" si="18"/>
        <v>1000</v>
      </c>
      <c r="H43">
        <f t="shared" ca="1" si="18"/>
        <v>1000</v>
      </c>
      <c r="I43">
        <f t="shared" ca="1" si="18"/>
        <v>1000</v>
      </c>
      <c r="K43">
        <f ca="1">RANK(E43,E$18:E$72,-1)+COUNTIF(E$18:E43,E43)-1</f>
        <v>26</v>
      </c>
      <c r="L43">
        <f ca="1">RANK(F43,F$18:F$72,-1)+COUNTIF(F$18:F43,F43)-1</f>
        <v>2</v>
      </c>
      <c r="M43">
        <f ca="1">RANK(G43,G$18:G$72,-1)+COUNTIF(G$18:G43,G43)-1</f>
        <v>38</v>
      </c>
      <c r="N43">
        <f ca="1">RANK(H43,H$18:H$72,-1)+COUNTIF(H$18:H43,H43)-1</f>
        <v>36</v>
      </c>
      <c r="O43">
        <f ca="1">RANK(I43,I$18:I$72,-1)+COUNTIF(I$18:I43,I43)-1</f>
        <v>29</v>
      </c>
      <c r="Q43">
        <f t="shared" ca="1" si="7"/>
        <v>26</v>
      </c>
      <c r="R43">
        <f t="shared" ca="1" si="8"/>
        <v>21</v>
      </c>
      <c r="S43">
        <f t="shared" ca="1" si="9"/>
        <v>52</v>
      </c>
      <c r="T43">
        <f t="shared" ca="1" si="10"/>
        <v>12</v>
      </c>
      <c r="U43">
        <f t="shared" ca="1" si="11"/>
        <v>23</v>
      </c>
      <c r="W43">
        <f t="shared" ca="1" si="12"/>
        <v>1000</v>
      </c>
      <c r="X43">
        <f t="shared" ca="1" si="13"/>
        <v>1000</v>
      </c>
      <c r="Y43">
        <f t="shared" ca="1" si="14"/>
        <v>52</v>
      </c>
      <c r="Z43">
        <f t="shared" ca="1" si="15"/>
        <v>1000</v>
      </c>
      <c r="AA43">
        <f t="shared" ca="1" si="16"/>
        <v>1000</v>
      </c>
      <c r="AC43" t="str">
        <f t="shared" ca="1" si="2"/>
        <v/>
      </c>
      <c r="AD43" t="str">
        <f t="shared" ca="1" si="3"/>
        <v/>
      </c>
      <c r="AE43" t="str">
        <f t="shared" ca="1" si="4"/>
        <v>Uruguay</v>
      </c>
      <c r="AF43" t="str">
        <f t="shared" ca="1" si="5"/>
        <v/>
      </c>
      <c r="AG43" t="str">
        <f t="shared" ca="1" si="6"/>
        <v/>
      </c>
      <c r="AI43" t="str">
        <f ca="1">IF(W43=1000,"",INDEX(tblCountries!$H$3:$H$57,W43))</f>
        <v/>
      </c>
      <c r="AJ43" t="str">
        <f ca="1">IF(X43=1000,"",INDEX(tblCountries!$H$3:$H$57,X43))</f>
        <v/>
      </c>
      <c r="AK43">
        <f ca="1">IF(Y43=1000,"",INDEX(tblCountries!$H$3:$H$57,Y43))</f>
        <v>2</v>
      </c>
      <c r="AL43" t="str">
        <f ca="1">IF(Z43=1000,"",INDEX(tblCountries!$H$3:$H$57,Z43))</f>
        <v/>
      </c>
      <c r="AM43" t="str">
        <f ca="1">IF(AA43=1000,"",INDEX(tblCountries!$H$3:$H$57,AA43))</f>
        <v/>
      </c>
    </row>
    <row r="44" spans="1:39">
      <c r="A44">
        <v>27</v>
      </c>
      <c r="B44">
        <f ca="1">tblCountries!H29</f>
        <v>2</v>
      </c>
      <c r="C44">
        <f t="shared" ca="1" si="0"/>
        <v>4</v>
      </c>
      <c r="E44">
        <f t="shared" ca="1" si="18"/>
        <v>1000</v>
      </c>
      <c r="F44">
        <f t="shared" ca="1" si="18"/>
        <v>1000</v>
      </c>
      <c r="G44">
        <f t="shared" ca="1" si="18"/>
        <v>1000</v>
      </c>
      <c r="H44">
        <f t="shared" ca="1" si="18"/>
        <v>1000</v>
      </c>
      <c r="I44">
        <f t="shared" ca="1" si="18"/>
        <v>27</v>
      </c>
      <c r="K44">
        <f ca="1">RANK(E44,E$18:E$72,-1)+COUNTIF(E$18:E44,E44)-1</f>
        <v>27</v>
      </c>
      <c r="L44">
        <f ca="1">RANK(F44,F$18:F$72,-1)+COUNTIF(F$18:F44,F44)-1</f>
        <v>31</v>
      </c>
      <c r="M44">
        <f ca="1">RANK(G44,G$18:G$72,-1)+COUNTIF(G$18:G44,G44)-1</f>
        <v>39</v>
      </c>
      <c r="N44">
        <f ca="1">RANK(H44,H$18:H$72,-1)+COUNTIF(H$18:H44,H44)-1</f>
        <v>37</v>
      </c>
      <c r="O44">
        <f ca="1">RANK(I44,I$18:I$72,-1)+COUNTIF(I$18:I44,I44)-1</f>
        <v>2</v>
      </c>
      <c r="Q44">
        <f t="shared" ca="1" si="7"/>
        <v>27</v>
      </c>
      <c r="R44">
        <f t="shared" ca="1" si="8"/>
        <v>22</v>
      </c>
      <c r="S44">
        <f t="shared" ca="1" si="9"/>
        <v>1</v>
      </c>
      <c r="T44">
        <f t="shared" ca="1" si="10"/>
        <v>13</v>
      </c>
      <c r="U44">
        <f t="shared" ca="1" si="11"/>
        <v>24</v>
      </c>
      <c r="W44">
        <f t="shared" ca="1" si="12"/>
        <v>1000</v>
      </c>
      <c r="X44">
        <f t="shared" ca="1" si="13"/>
        <v>1000</v>
      </c>
      <c r="Y44">
        <f t="shared" ca="1" si="14"/>
        <v>1000</v>
      </c>
      <c r="Z44">
        <f t="shared" ca="1" si="15"/>
        <v>1000</v>
      </c>
      <c r="AA44">
        <f t="shared" ca="1" si="16"/>
        <v>1000</v>
      </c>
      <c r="AC44" t="str">
        <f t="shared" ca="1" si="2"/>
        <v/>
      </c>
      <c r="AD44" t="str">
        <f t="shared" ca="1" si="3"/>
        <v/>
      </c>
      <c r="AE44" t="str">
        <f t="shared" ca="1" si="4"/>
        <v/>
      </c>
      <c r="AF44" t="str">
        <f t="shared" ca="1" si="5"/>
        <v/>
      </c>
      <c r="AG44" t="str">
        <f t="shared" ca="1" si="6"/>
        <v/>
      </c>
      <c r="AI44" t="str">
        <f ca="1">IF(W44=1000,"",INDEX(tblCountries!$H$3:$H$57,W44))</f>
        <v/>
      </c>
      <c r="AJ44" t="str">
        <f ca="1">IF(X44=1000,"",INDEX(tblCountries!$H$3:$H$57,X44))</f>
        <v/>
      </c>
      <c r="AK44" t="str">
        <f ca="1">IF(Y44=1000,"",INDEX(tblCountries!$H$3:$H$57,Y44))</f>
        <v/>
      </c>
      <c r="AL44" t="str">
        <f ca="1">IF(Z44=1000,"",INDEX(tblCountries!$H$3:$H$57,Z44))</f>
        <v/>
      </c>
      <c r="AM44" t="str">
        <f ca="1">IF(AA44=1000,"",INDEX(tblCountries!$H$3:$H$57,AA44))</f>
        <v/>
      </c>
    </row>
    <row r="45" spans="1:39">
      <c r="A45">
        <v>28</v>
      </c>
      <c r="B45">
        <f ca="1">tblCountries!H30</f>
        <v>2</v>
      </c>
      <c r="C45">
        <f t="shared" ca="1" si="0"/>
        <v>3</v>
      </c>
      <c r="E45">
        <f t="shared" ca="1" si="18"/>
        <v>1000</v>
      </c>
      <c r="F45">
        <f t="shared" ca="1" si="18"/>
        <v>1000</v>
      </c>
      <c r="G45">
        <f t="shared" ca="1" si="18"/>
        <v>1000</v>
      </c>
      <c r="H45">
        <f t="shared" ca="1" si="18"/>
        <v>28</v>
      </c>
      <c r="I45">
        <f t="shared" ca="1" si="18"/>
        <v>1000</v>
      </c>
      <c r="K45">
        <f ca="1">RANK(E45,E$18:E$72,-1)+COUNTIF(E$18:E45,E45)-1</f>
        <v>28</v>
      </c>
      <c r="L45">
        <f ca="1">RANK(F45,F$18:F$72,-1)+COUNTIF(F$18:F45,F45)-1</f>
        <v>32</v>
      </c>
      <c r="M45">
        <f ca="1">RANK(G45,G$18:G$72,-1)+COUNTIF(G$18:G45,G45)-1</f>
        <v>40</v>
      </c>
      <c r="N45">
        <f ca="1">RANK(H45,H$18:H$72,-1)+COUNTIF(H$18:H45,H45)-1</f>
        <v>10</v>
      </c>
      <c r="O45">
        <f ca="1">RANK(I45,I$18:I$72,-1)+COUNTIF(I$18:I45,I45)-1</f>
        <v>30</v>
      </c>
      <c r="Q45">
        <f t="shared" ca="1" si="7"/>
        <v>28</v>
      </c>
      <c r="R45">
        <f t="shared" ca="1" si="8"/>
        <v>23</v>
      </c>
      <c r="S45">
        <f t="shared" ca="1" si="9"/>
        <v>2</v>
      </c>
      <c r="T45">
        <f t="shared" ca="1" si="10"/>
        <v>14</v>
      </c>
      <c r="U45">
        <f t="shared" ca="1" si="11"/>
        <v>25</v>
      </c>
      <c r="W45">
        <f t="shared" ca="1" si="12"/>
        <v>1000</v>
      </c>
      <c r="X45">
        <f t="shared" ca="1" si="13"/>
        <v>1000</v>
      </c>
      <c r="Y45">
        <f t="shared" ca="1" si="14"/>
        <v>1000</v>
      </c>
      <c r="Z45">
        <f t="shared" ca="1" si="15"/>
        <v>1000</v>
      </c>
      <c r="AA45">
        <f t="shared" ca="1" si="16"/>
        <v>1000</v>
      </c>
      <c r="AC45" t="str">
        <f t="shared" ca="1" si="2"/>
        <v/>
      </c>
      <c r="AD45" t="str">
        <f t="shared" ca="1" si="3"/>
        <v/>
      </c>
      <c r="AE45" t="str">
        <f t="shared" ca="1" si="4"/>
        <v/>
      </c>
      <c r="AF45" t="str">
        <f t="shared" ca="1" si="5"/>
        <v/>
      </c>
      <c r="AG45" t="str">
        <f t="shared" ca="1" si="6"/>
        <v/>
      </c>
      <c r="AI45" t="str">
        <f ca="1">IF(W45=1000,"",INDEX(tblCountries!$H$3:$H$57,W45))</f>
        <v/>
      </c>
      <c r="AJ45" t="str">
        <f ca="1">IF(X45=1000,"",INDEX(tblCountries!$H$3:$H$57,X45))</f>
        <v/>
      </c>
      <c r="AK45" t="str">
        <f ca="1">IF(Y45=1000,"",INDEX(tblCountries!$H$3:$H$57,Y45))</f>
        <v/>
      </c>
      <c r="AL45" t="str">
        <f ca="1">IF(Z45=1000,"",INDEX(tblCountries!$H$3:$H$57,Z45))</f>
        <v/>
      </c>
      <c r="AM45" t="str">
        <f ca="1">IF(AA45=1000,"",INDEX(tblCountries!$H$3:$H$57,AA45))</f>
        <v/>
      </c>
    </row>
    <row r="46" spans="1:39">
      <c r="A46">
        <v>29</v>
      </c>
      <c r="B46">
        <f ca="1">tblCountries!H31</f>
        <v>2</v>
      </c>
      <c r="C46">
        <f t="shared" ca="1" si="0"/>
        <v>2</v>
      </c>
      <c r="E46">
        <f t="shared" ca="1" si="18"/>
        <v>1000</v>
      </c>
      <c r="F46">
        <f t="shared" ca="1" si="18"/>
        <v>1000</v>
      </c>
      <c r="G46">
        <f t="shared" ca="1" si="18"/>
        <v>29</v>
      </c>
      <c r="H46">
        <f t="shared" ca="1" si="18"/>
        <v>1000</v>
      </c>
      <c r="I46">
        <f t="shared" ca="1" si="18"/>
        <v>1000</v>
      </c>
      <c r="K46">
        <f ca="1">RANK(E46,E$18:E$72,-1)+COUNTIF(E$18:E46,E46)-1</f>
        <v>29</v>
      </c>
      <c r="L46">
        <f ca="1">RANK(F46,F$18:F$72,-1)+COUNTIF(F$18:F46,F46)-1</f>
        <v>33</v>
      </c>
      <c r="M46">
        <f ca="1">RANK(G46,G$18:G$72,-1)+COUNTIF(G$18:G46,G46)-1</f>
        <v>15</v>
      </c>
      <c r="N46">
        <f ca="1">RANK(H46,H$18:H$72,-1)+COUNTIF(H$18:H46,H46)-1</f>
        <v>38</v>
      </c>
      <c r="O46">
        <f ca="1">RANK(I46,I$18:I$72,-1)+COUNTIF(I$18:I46,I46)-1</f>
        <v>31</v>
      </c>
      <c r="Q46">
        <f t="shared" ca="1" si="7"/>
        <v>29</v>
      </c>
      <c r="R46">
        <f t="shared" ca="1" si="8"/>
        <v>24</v>
      </c>
      <c r="S46">
        <f t="shared" ca="1" si="9"/>
        <v>3</v>
      </c>
      <c r="T46">
        <f t="shared" ca="1" si="10"/>
        <v>15</v>
      </c>
      <c r="U46">
        <f t="shared" ca="1" si="11"/>
        <v>26</v>
      </c>
      <c r="W46">
        <f t="shared" ca="1" si="12"/>
        <v>1000</v>
      </c>
      <c r="X46">
        <f t="shared" ca="1" si="13"/>
        <v>1000</v>
      </c>
      <c r="Y46">
        <f t="shared" ca="1" si="14"/>
        <v>1000</v>
      </c>
      <c r="Z46">
        <f t="shared" ca="1" si="15"/>
        <v>1000</v>
      </c>
      <c r="AA46">
        <f t="shared" ca="1" si="16"/>
        <v>1000</v>
      </c>
      <c r="AC46" t="str">
        <f t="shared" ca="1" si="2"/>
        <v/>
      </c>
      <c r="AD46" t="str">
        <f t="shared" ca="1" si="3"/>
        <v/>
      </c>
      <c r="AE46" t="str">
        <f t="shared" ca="1" si="4"/>
        <v/>
      </c>
      <c r="AF46" t="str">
        <f t="shared" ca="1" si="5"/>
        <v/>
      </c>
      <c r="AG46" t="str">
        <f t="shared" ca="1" si="6"/>
        <v/>
      </c>
      <c r="AI46" t="str">
        <f ca="1">IF(W46=1000,"",INDEX(tblCountries!$H$3:$H$57,W46))</f>
        <v/>
      </c>
      <c r="AJ46" t="str">
        <f ca="1">IF(X46=1000,"",INDEX(tblCountries!$H$3:$H$57,X46))</f>
        <v/>
      </c>
      <c r="AK46" t="str">
        <f ca="1">IF(Y46=1000,"",INDEX(tblCountries!$H$3:$H$57,Y46))</f>
        <v/>
      </c>
      <c r="AL46" t="str">
        <f ca="1">IF(Z46=1000,"",INDEX(tblCountries!$H$3:$H$57,Z46))</f>
        <v/>
      </c>
      <c r="AM46" t="str">
        <f ca="1">IF(AA46=1000,"",INDEX(tblCountries!$H$3:$H$57,AA46))</f>
        <v/>
      </c>
    </row>
    <row r="47" spans="1:39">
      <c r="A47">
        <v>30</v>
      </c>
      <c r="B47">
        <f ca="1">tblCountries!H32</f>
        <v>2</v>
      </c>
      <c r="C47">
        <f t="shared" ca="1" si="0"/>
        <v>2</v>
      </c>
      <c r="E47">
        <f t="shared" ca="1" si="18"/>
        <v>1000</v>
      </c>
      <c r="F47">
        <f t="shared" ca="1" si="18"/>
        <v>1000</v>
      </c>
      <c r="G47">
        <f t="shared" ca="1" si="18"/>
        <v>30</v>
      </c>
      <c r="H47">
        <f t="shared" ca="1" si="18"/>
        <v>1000</v>
      </c>
      <c r="I47">
        <f t="shared" ca="1" si="18"/>
        <v>1000</v>
      </c>
      <c r="K47">
        <f ca="1">RANK(E47,E$18:E$72,-1)+COUNTIF(E$18:E47,E47)-1</f>
        <v>30</v>
      </c>
      <c r="L47">
        <f ca="1">RANK(F47,F$18:F$72,-1)+COUNTIF(F$18:F47,F47)-1</f>
        <v>34</v>
      </c>
      <c r="M47">
        <f ca="1">RANK(G47,G$18:G$72,-1)+COUNTIF(G$18:G47,G47)-1</f>
        <v>16</v>
      </c>
      <c r="N47">
        <f ca="1">RANK(H47,H$18:H$72,-1)+COUNTIF(H$18:H47,H47)-1</f>
        <v>39</v>
      </c>
      <c r="O47">
        <f ca="1">RANK(I47,I$18:I$72,-1)+COUNTIF(I$18:I47,I47)-1</f>
        <v>32</v>
      </c>
      <c r="Q47">
        <f t="shared" ca="1" si="7"/>
        <v>30</v>
      </c>
      <c r="R47">
        <f t="shared" ca="1" si="8"/>
        <v>25</v>
      </c>
      <c r="S47">
        <f t="shared" ca="1" si="9"/>
        <v>5</v>
      </c>
      <c r="T47">
        <f t="shared" ca="1" si="10"/>
        <v>16</v>
      </c>
      <c r="U47">
        <f t="shared" ca="1" si="11"/>
        <v>28</v>
      </c>
      <c r="W47">
        <f t="shared" ca="1" si="12"/>
        <v>1000</v>
      </c>
      <c r="X47">
        <f t="shared" ca="1" si="13"/>
        <v>1000</v>
      </c>
      <c r="Y47">
        <f t="shared" ca="1" si="14"/>
        <v>1000</v>
      </c>
      <c r="Z47">
        <f t="shared" ca="1" si="15"/>
        <v>1000</v>
      </c>
      <c r="AA47">
        <f t="shared" ca="1" si="16"/>
        <v>1000</v>
      </c>
      <c r="AC47" t="str">
        <f t="shared" ca="1" si="2"/>
        <v/>
      </c>
      <c r="AD47" t="str">
        <f t="shared" ca="1" si="3"/>
        <v/>
      </c>
      <c r="AE47" t="str">
        <f t="shared" ca="1" si="4"/>
        <v/>
      </c>
      <c r="AF47" t="str">
        <f t="shared" ca="1" si="5"/>
        <v/>
      </c>
      <c r="AG47" t="str">
        <f t="shared" ca="1" si="6"/>
        <v/>
      </c>
      <c r="AI47" t="str">
        <f ca="1">IF(W47=1000,"",INDEX(tblCountries!$H$3:$H$57,W47))</f>
        <v/>
      </c>
      <c r="AJ47" t="str">
        <f ca="1">IF(X47=1000,"",INDEX(tblCountries!$H$3:$H$57,X47))</f>
        <v/>
      </c>
      <c r="AK47" t="str">
        <f ca="1">IF(Y47=1000,"",INDEX(tblCountries!$H$3:$H$57,Y47))</f>
        <v/>
      </c>
      <c r="AL47" t="str">
        <f ca="1">IF(Z47=1000,"",INDEX(tblCountries!$H$3:$H$57,Z47))</f>
        <v/>
      </c>
      <c r="AM47" t="str">
        <f ca="1">IF(AA47=1000,"",INDEX(tblCountries!$H$3:$H$57,AA47))</f>
        <v/>
      </c>
    </row>
    <row r="48" spans="1:39">
      <c r="A48">
        <v>31</v>
      </c>
      <c r="B48">
        <f ca="1">tblCountries!H33</f>
        <v>2</v>
      </c>
      <c r="C48">
        <f t="shared" ca="1" si="0"/>
        <v>2</v>
      </c>
      <c r="E48">
        <f t="shared" ref="E48:I57" ca="1" si="19">IF($B48=0,1000,IF(AND($C48&gt;=E$16,$C48&lt;F$16),$A48,1000))</f>
        <v>1000</v>
      </c>
      <c r="F48">
        <f t="shared" ca="1" si="19"/>
        <v>1000</v>
      </c>
      <c r="G48">
        <f t="shared" ca="1" si="19"/>
        <v>31</v>
      </c>
      <c r="H48">
        <f t="shared" ca="1" si="19"/>
        <v>1000</v>
      </c>
      <c r="I48">
        <f t="shared" ca="1" si="19"/>
        <v>1000</v>
      </c>
      <c r="K48">
        <f ca="1">RANK(E48,E$18:E$72,-1)+COUNTIF(E$18:E48,E48)-1</f>
        <v>31</v>
      </c>
      <c r="L48">
        <f ca="1">RANK(F48,F$18:F$72,-1)+COUNTIF(F$18:F48,F48)-1</f>
        <v>35</v>
      </c>
      <c r="M48">
        <f ca="1">RANK(G48,G$18:G$72,-1)+COUNTIF(G$18:G48,G48)-1</f>
        <v>17</v>
      </c>
      <c r="N48">
        <f ca="1">RANK(H48,H$18:H$72,-1)+COUNTIF(H$18:H48,H48)-1</f>
        <v>40</v>
      </c>
      <c r="O48">
        <f ca="1">RANK(I48,I$18:I$72,-1)+COUNTIF(I$18:I48,I48)-1</f>
        <v>33</v>
      </c>
      <c r="Q48">
        <f t="shared" ca="1" si="7"/>
        <v>31</v>
      </c>
      <c r="R48">
        <f t="shared" ca="1" si="8"/>
        <v>27</v>
      </c>
      <c r="S48">
        <f t="shared" ca="1" si="9"/>
        <v>8</v>
      </c>
      <c r="T48">
        <f t="shared" ca="1" si="10"/>
        <v>17</v>
      </c>
      <c r="U48">
        <f t="shared" ca="1" si="11"/>
        <v>29</v>
      </c>
      <c r="W48">
        <f t="shared" ca="1" si="12"/>
        <v>1000</v>
      </c>
      <c r="X48">
        <f t="shared" ca="1" si="13"/>
        <v>1000</v>
      </c>
      <c r="Y48">
        <f t="shared" ca="1" si="14"/>
        <v>1000</v>
      </c>
      <c r="Z48">
        <f t="shared" ca="1" si="15"/>
        <v>1000</v>
      </c>
      <c r="AA48">
        <f t="shared" ca="1" si="16"/>
        <v>1000</v>
      </c>
      <c r="AC48" t="str">
        <f t="shared" ca="1" si="2"/>
        <v/>
      </c>
      <c r="AD48" t="str">
        <f t="shared" ca="1" si="3"/>
        <v/>
      </c>
      <c r="AE48" t="str">
        <f t="shared" ca="1" si="4"/>
        <v/>
      </c>
      <c r="AF48" t="str">
        <f t="shared" ca="1" si="5"/>
        <v/>
      </c>
      <c r="AG48" t="str">
        <f t="shared" ca="1" si="6"/>
        <v/>
      </c>
      <c r="AI48" t="str">
        <f ca="1">IF(W48=1000,"",INDEX(tblCountries!$H$3:$H$57,W48))</f>
        <v/>
      </c>
      <c r="AJ48" t="str">
        <f ca="1">IF(X48=1000,"",INDEX(tblCountries!$H$3:$H$57,X48))</f>
        <v/>
      </c>
      <c r="AK48" t="str">
        <f ca="1">IF(Y48=1000,"",INDEX(tblCountries!$H$3:$H$57,Y48))</f>
        <v/>
      </c>
      <c r="AL48" t="str">
        <f ca="1">IF(Z48=1000,"",INDEX(tblCountries!$H$3:$H$57,Z48))</f>
        <v/>
      </c>
      <c r="AM48" t="str">
        <f ca="1">IF(AA48=1000,"",INDEX(tblCountries!$H$3:$H$57,AA48))</f>
        <v/>
      </c>
    </row>
    <row r="49" spans="1:39">
      <c r="A49">
        <v>32</v>
      </c>
      <c r="B49">
        <f ca="1">tblCountries!H34</f>
        <v>2</v>
      </c>
      <c r="C49">
        <f t="shared" ca="1" si="0"/>
        <v>3</v>
      </c>
      <c r="E49">
        <f t="shared" ca="1" si="19"/>
        <v>1000</v>
      </c>
      <c r="F49">
        <f t="shared" ca="1" si="19"/>
        <v>1000</v>
      </c>
      <c r="G49">
        <f t="shared" ca="1" si="19"/>
        <v>1000</v>
      </c>
      <c r="H49">
        <f t="shared" ca="1" si="19"/>
        <v>32</v>
      </c>
      <c r="I49">
        <f t="shared" ca="1" si="19"/>
        <v>1000</v>
      </c>
      <c r="K49">
        <f ca="1">RANK(E49,E$18:E$72,-1)+COUNTIF(E$18:E49,E49)-1</f>
        <v>32</v>
      </c>
      <c r="L49">
        <f ca="1">RANK(F49,F$18:F$72,-1)+COUNTIF(F$18:F49,F49)-1</f>
        <v>36</v>
      </c>
      <c r="M49">
        <f ca="1">RANK(G49,G$18:G$72,-1)+COUNTIF(G$18:G49,G49)-1</f>
        <v>41</v>
      </c>
      <c r="N49">
        <f ca="1">RANK(H49,H$18:H$72,-1)+COUNTIF(H$18:H49,H49)-1</f>
        <v>11</v>
      </c>
      <c r="O49">
        <f ca="1">RANK(I49,I$18:I$72,-1)+COUNTIF(I$18:I49,I49)-1</f>
        <v>34</v>
      </c>
      <c r="Q49">
        <f t="shared" ca="1" si="7"/>
        <v>32</v>
      </c>
      <c r="R49">
        <f t="shared" ca="1" si="8"/>
        <v>28</v>
      </c>
      <c r="S49">
        <f t="shared" ca="1" si="9"/>
        <v>9</v>
      </c>
      <c r="T49">
        <f t="shared" ca="1" si="10"/>
        <v>18</v>
      </c>
      <c r="U49">
        <f t="shared" ca="1" si="11"/>
        <v>30</v>
      </c>
      <c r="W49">
        <f t="shared" ca="1" si="12"/>
        <v>1000</v>
      </c>
      <c r="X49">
        <f t="shared" ca="1" si="13"/>
        <v>1000</v>
      </c>
      <c r="Y49">
        <f t="shared" ca="1" si="14"/>
        <v>1000</v>
      </c>
      <c r="Z49">
        <f t="shared" ca="1" si="15"/>
        <v>1000</v>
      </c>
      <c r="AA49">
        <f t="shared" ca="1" si="16"/>
        <v>1000</v>
      </c>
      <c r="AC49" t="str">
        <f t="shared" ca="1" si="2"/>
        <v/>
      </c>
      <c r="AD49" t="str">
        <f t="shared" ca="1" si="3"/>
        <v/>
      </c>
      <c r="AE49" t="str">
        <f t="shared" ca="1" si="4"/>
        <v/>
      </c>
      <c r="AF49" t="str">
        <f t="shared" ca="1" si="5"/>
        <v/>
      </c>
      <c r="AG49" t="str">
        <f t="shared" ca="1" si="6"/>
        <v/>
      </c>
      <c r="AI49" t="str">
        <f ca="1">IF(W49=1000,"",INDEX(tblCountries!$H$3:$H$57,W49))</f>
        <v/>
      </c>
      <c r="AJ49" t="str">
        <f ca="1">IF(X49=1000,"",INDEX(tblCountries!$H$3:$H$57,X49))</f>
        <v/>
      </c>
      <c r="AK49" t="str">
        <f ca="1">IF(Y49=1000,"",INDEX(tblCountries!$H$3:$H$57,Y49))</f>
        <v/>
      </c>
      <c r="AL49" t="str">
        <f ca="1">IF(Z49=1000,"",INDEX(tblCountries!$H$3:$H$57,Z49))</f>
        <v/>
      </c>
      <c r="AM49" t="str">
        <f ca="1">IF(AA49=1000,"",INDEX(tblCountries!$H$3:$H$57,AA49))</f>
        <v/>
      </c>
    </row>
    <row r="50" spans="1:39">
      <c r="A50">
        <v>33</v>
      </c>
      <c r="B50">
        <f ca="1">tblCountries!H35</f>
        <v>2</v>
      </c>
      <c r="C50">
        <f t="shared" ref="C50:C72" ca="1" si="20">INDEX(indi_data,$B$1,A50)</f>
        <v>2</v>
      </c>
      <c r="E50">
        <f t="shared" ca="1" si="19"/>
        <v>1000</v>
      </c>
      <c r="F50">
        <f t="shared" ca="1" si="19"/>
        <v>1000</v>
      </c>
      <c r="G50">
        <f t="shared" ca="1" si="19"/>
        <v>33</v>
      </c>
      <c r="H50">
        <f t="shared" ca="1" si="19"/>
        <v>1000</v>
      </c>
      <c r="I50">
        <f t="shared" ca="1" si="19"/>
        <v>1000</v>
      </c>
      <c r="K50">
        <f ca="1">RANK(E50,E$18:E$72,-1)+COUNTIF(E$18:E50,E50)-1</f>
        <v>33</v>
      </c>
      <c r="L50">
        <f ca="1">RANK(F50,F$18:F$72,-1)+COUNTIF(F$18:F50,F50)-1</f>
        <v>37</v>
      </c>
      <c r="M50">
        <f ca="1">RANK(G50,G$18:G$72,-1)+COUNTIF(G$18:G50,G50)-1</f>
        <v>18</v>
      </c>
      <c r="N50">
        <f ca="1">RANK(H50,H$18:H$72,-1)+COUNTIF(H$18:H50,H50)-1</f>
        <v>41</v>
      </c>
      <c r="O50">
        <f ca="1">RANK(I50,I$18:I$72,-1)+COUNTIF(I$18:I50,I50)-1</f>
        <v>35</v>
      </c>
      <c r="Q50">
        <f t="shared" ca="1" si="7"/>
        <v>33</v>
      </c>
      <c r="R50">
        <f t="shared" ca="1" si="8"/>
        <v>29</v>
      </c>
      <c r="S50">
        <f t="shared" ca="1" si="9"/>
        <v>10</v>
      </c>
      <c r="T50">
        <f t="shared" ca="1" si="10"/>
        <v>22</v>
      </c>
      <c r="U50">
        <f t="shared" ca="1" si="11"/>
        <v>31</v>
      </c>
      <c r="W50">
        <f t="shared" ca="1" si="12"/>
        <v>1000</v>
      </c>
      <c r="X50">
        <f t="shared" ca="1" si="13"/>
        <v>1000</v>
      </c>
      <c r="Y50">
        <f t="shared" ca="1" si="14"/>
        <v>1000</v>
      </c>
      <c r="Z50">
        <f t="shared" ca="1" si="15"/>
        <v>1000</v>
      </c>
      <c r="AA50">
        <f t="shared" ca="1" si="16"/>
        <v>1000</v>
      </c>
      <c r="AC50" t="str">
        <f t="shared" ref="AC50:AC72" ca="1" si="21">IF(W50=1000,"",INDEX(lu_countries_and_regions,W50))</f>
        <v/>
      </c>
      <c r="AD50" t="str">
        <f t="shared" ref="AD50:AD72" ca="1" si="22">IF(X50=1000,"",INDEX(lu_countries_and_regions,X50))</f>
        <v/>
      </c>
      <c r="AE50" t="str">
        <f t="shared" ref="AE50:AE72" ca="1" si="23">IF(Y50=1000,"",INDEX(lu_countries_and_regions,Y50))</f>
        <v/>
      </c>
      <c r="AF50" t="str">
        <f t="shared" ref="AF50:AF72" ca="1" si="24">IF(Z50=1000,"",INDEX(lu_countries_and_regions,Z50))</f>
        <v/>
      </c>
      <c r="AG50" t="str">
        <f t="shared" ref="AG50:AG72" ca="1" si="25">IF(AA50=1000,"",INDEX(lu_countries_and_regions,AA50))</f>
        <v/>
      </c>
      <c r="AI50" t="str">
        <f ca="1">IF(W50=1000,"",INDEX(tblCountries!$H$3:$H$57,W50))</f>
        <v/>
      </c>
      <c r="AJ50" t="str">
        <f ca="1">IF(X50=1000,"",INDEX(tblCountries!$H$3:$H$57,X50))</f>
        <v/>
      </c>
      <c r="AK50" t="str">
        <f ca="1">IF(Y50=1000,"",INDEX(tblCountries!$H$3:$H$57,Y50))</f>
        <v/>
      </c>
      <c r="AL50" t="str">
        <f ca="1">IF(Z50=1000,"",INDEX(tblCountries!$H$3:$H$57,Z50))</f>
        <v/>
      </c>
      <c r="AM50" t="str">
        <f ca="1">IF(AA50=1000,"",INDEX(tblCountries!$H$3:$H$57,AA50))</f>
        <v/>
      </c>
    </row>
    <row r="51" spans="1:39">
      <c r="A51">
        <v>34</v>
      </c>
      <c r="B51">
        <f ca="1">tblCountries!H36</f>
        <v>2</v>
      </c>
      <c r="C51">
        <f t="shared" ca="1" si="20"/>
        <v>2</v>
      </c>
      <c r="E51">
        <f t="shared" ca="1" si="19"/>
        <v>1000</v>
      </c>
      <c r="F51">
        <f t="shared" ca="1" si="19"/>
        <v>1000</v>
      </c>
      <c r="G51">
        <f t="shared" ca="1" si="19"/>
        <v>34</v>
      </c>
      <c r="H51">
        <f t="shared" ca="1" si="19"/>
        <v>1000</v>
      </c>
      <c r="I51">
        <f t="shared" ca="1" si="19"/>
        <v>1000</v>
      </c>
      <c r="K51">
        <f ca="1">RANK(E51,E$18:E$72,-1)+COUNTIF(E$18:E51,E51)-1</f>
        <v>34</v>
      </c>
      <c r="L51">
        <f ca="1">RANK(F51,F$18:F$72,-1)+COUNTIF(F$18:F51,F51)-1</f>
        <v>38</v>
      </c>
      <c r="M51">
        <f ca="1">RANK(G51,G$18:G$72,-1)+COUNTIF(G$18:G51,G51)-1</f>
        <v>19</v>
      </c>
      <c r="N51">
        <f ca="1">RANK(H51,H$18:H$72,-1)+COUNTIF(H$18:H51,H51)-1</f>
        <v>42</v>
      </c>
      <c r="O51">
        <f ca="1">RANK(I51,I$18:I$72,-1)+COUNTIF(I$18:I51,I51)-1</f>
        <v>36</v>
      </c>
      <c r="Q51">
        <f t="shared" ca="1" si="7"/>
        <v>34</v>
      </c>
      <c r="R51">
        <f t="shared" ca="1" si="8"/>
        <v>30</v>
      </c>
      <c r="S51">
        <f t="shared" ca="1" si="9"/>
        <v>19</v>
      </c>
      <c r="T51">
        <f t="shared" ca="1" si="10"/>
        <v>23</v>
      </c>
      <c r="U51">
        <f t="shared" ca="1" si="11"/>
        <v>32</v>
      </c>
      <c r="W51">
        <f t="shared" ca="1" si="12"/>
        <v>1000</v>
      </c>
      <c r="X51">
        <f t="shared" ca="1" si="13"/>
        <v>1000</v>
      </c>
      <c r="Y51">
        <f t="shared" ca="1" si="14"/>
        <v>1000</v>
      </c>
      <c r="Z51">
        <f t="shared" ca="1" si="15"/>
        <v>1000</v>
      </c>
      <c r="AA51">
        <f t="shared" ca="1" si="16"/>
        <v>1000</v>
      </c>
      <c r="AC51" t="str">
        <f t="shared" ca="1" si="21"/>
        <v/>
      </c>
      <c r="AD51" t="str">
        <f t="shared" ca="1" si="22"/>
        <v/>
      </c>
      <c r="AE51" t="str">
        <f t="shared" ca="1" si="23"/>
        <v/>
      </c>
      <c r="AF51" t="str">
        <f t="shared" ca="1" si="24"/>
        <v/>
      </c>
      <c r="AG51" t="str">
        <f t="shared" ca="1" si="25"/>
        <v/>
      </c>
      <c r="AI51" t="str">
        <f ca="1">IF(W51=1000,"",INDEX(tblCountries!$H$3:$H$57,W51))</f>
        <v/>
      </c>
      <c r="AJ51" t="str">
        <f ca="1">IF(X51=1000,"",INDEX(tblCountries!$H$3:$H$57,X51))</f>
        <v/>
      </c>
      <c r="AK51" t="str">
        <f ca="1">IF(Y51=1000,"",INDEX(tblCountries!$H$3:$H$57,Y51))</f>
        <v/>
      </c>
      <c r="AL51" t="str">
        <f ca="1">IF(Z51=1000,"",INDEX(tblCountries!$H$3:$H$57,Z51))</f>
        <v/>
      </c>
      <c r="AM51" t="str">
        <f ca="1">IF(AA51=1000,"",INDEX(tblCountries!$H$3:$H$57,AA51))</f>
        <v/>
      </c>
    </row>
    <row r="52" spans="1:39">
      <c r="A52">
        <v>35</v>
      </c>
      <c r="B52">
        <f ca="1">tblCountries!H37</f>
        <v>2</v>
      </c>
      <c r="C52">
        <f t="shared" ca="1" si="20"/>
        <v>2</v>
      </c>
      <c r="E52">
        <f t="shared" ca="1" si="19"/>
        <v>1000</v>
      </c>
      <c r="F52">
        <f t="shared" ca="1" si="19"/>
        <v>1000</v>
      </c>
      <c r="G52">
        <f t="shared" ca="1" si="19"/>
        <v>35</v>
      </c>
      <c r="H52">
        <f t="shared" ca="1" si="19"/>
        <v>1000</v>
      </c>
      <c r="I52">
        <f t="shared" ca="1" si="19"/>
        <v>1000</v>
      </c>
      <c r="K52">
        <f ca="1">RANK(E52,E$18:E$72,-1)+COUNTIF(E$18:E52,E52)-1</f>
        <v>35</v>
      </c>
      <c r="L52">
        <f ca="1">RANK(F52,F$18:F$72,-1)+COUNTIF(F$18:F52,F52)-1</f>
        <v>39</v>
      </c>
      <c r="M52">
        <f ca="1">RANK(G52,G$18:G$72,-1)+COUNTIF(G$18:G52,G52)-1</f>
        <v>20</v>
      </c>
      <c r="N52">
        <f ca="1">RANK(H52,H$18:H$72,-1)+COUNTIF(H$18:H52,H52)-1</f>
        <v>43</v>
      </c>
      <c r="O52">
        <f ca="1">RANK(I52,I$18:I$72,-1)+COUNTIF(I$18:I52,I52)-1</f>
        <v>37</v>
      </c>
      <c r="Q52">
        <f t="shared" ca="1" si="7"/>
        <v>35</v>
      </c>
      <c r="R52">
        <f t="shared" ca="1" si="8"/>
        <v>31</v>
      </c>
      <c r="S52">
        <f t="shared" ca="1" si="9"/>
        <v>20</v>
      </c>
      <c r="T52">
        <f t="shared" ca="1" si="10"/>
        <v>25</v>
      </c>
      <c r="U52">
        <f t="shared" ca="1" si="11"/>
        <v>33</v>
      </c>
      <c r="W52">
        <f t="shared" ca="1" si="12"/>
        <v>1000</v>
      </c>
      <c r="X52">
        <f t="shared" ca="1" si="13"/>
        <v>1000</v>
      </c>
      <c r="Y52">
        <f t="shared" ca="1" si="14"/>
        <v>1000</v>
      </c>
      <c r="Z52">
        <f t="shared" ca="1" si="15"/>
        <v>1000</v>
      </c>
      <c r="AA52">
        <f t="shared" ca="1" si="16"/>
        <v>1000</v>
      </c>
      <c r="AC52" t="str">
        <f t="shared" ca="1" si="21"/>
        <v/>
      </c>
      <c r="AD52" t="str">
        <f t="shared" ca="1" si="22"/>
        <v/>
      </c>
      <c r="AE52" t="str">
        <f t="shared" ca="1" si="23"/>
        <v/>
      </c>
      <c r="AF52" t="str">
        <f t="shared" ca="1" si="24"/>
        <v/>
      </c>
      <c r="AG52" t="str">
        <f t="shared" ca="1" si="25"/>
        <v/>
      </c>
      <c r="AI52" t="str">
        <f ca="1">IF(W52=1000,"",INDEX(tblCountries!$H$3:$H$57,W52))</f>
        <v/>
      </c>
      <c r="AJ52" t="str">
        <f ca="1">IF(X52=1000,"",INDEX(tblCountries!$H$3:$H$57,X52))</f>
        <v/>
      </c>
      <c r="AK52" t="str">
        <f ca="1">IF(Y52=1000,"",INDEX(tblCountries!$H$3:$H$57,Y52))</f>
        <v/>
      </c>
      <c r="AL52" t="str">
        <f ca="1">IF(Z52=1000,"",INDEX(tblCountries!$H$3:$H$57,Z52))</f>
        <v/>
      </c>
      <c r="AM52" t="str">
        <f ca="1">IF(AA52=1000,"",INDEX(tblCountries!$H$3:$H$57,AA52))</f>
        <v/>
      </c>
    </row>
    <row r="53" spans="1:39">
      <c r="A53">
        <v>36</v>
      </c>
      <c r="B53">
        <f ca="1">tblCountries!H38</f>
        <v>2</v>
      </c>
      <c r="C53">
        <f t="shared" ca="1" si="20"/>
        <v>2</v>
      </c>
      <c r="E53">
        <f t="shared" ca="1" si="19"/>
        <v>1000</v>
      </c>
      <c r="F53">
        <f t="shared" ca="1" si="19"/>
        <v>1000</v>
      </c>
      <c r="G53">
        <f t="shared" ca="1" si="19"/>
        <v>36</v>
      </c>
      <c r="H53">
        <f t="shared" ca="1" si="19"/>
        <v>1000</v>
      </c>
      <c r="I53">
        <f t="shared" ca="1" si="19"/>
        <v>1000</v>
      </c>
      <c r="K53">
        <f ca="1">RANK(E53,E$18:E$72,-1)+COUNTIF(E$18:E53,E53)-1</f>
        <v>36</v>
      </c>
      <c r="L53">
        <f ca="1">RANK(F53,F$18:F$72,-1)+COUNTIF(F$18:F53,F53)-1</f>
        <v>40</v>
      </c>
      <c r="M53">
        <f ca="1">RANK(G53,G$18:G$72,-1)+COUNTIF(G$18:G53,G53)-1</f>
        <v>21</v>
      </c>
      <c r="N53">
        <f ca="1">RANK(H53,H$18:H$72,-1)+COUNTIF(H$18:H53,H53)-1</f>
        <v>44</v>
      </c>
      <c r="O53">
        <f ca="1">RANK(I53,I$18:I$72,-1)+COUNTIF(I$18:I53,I53)-1</f>
        <v>38</v>
      </c>
      <c r="Q53">
        <f t="shared" ca="1" si="7"/>
        <v>36</v>
      </c>
      <c r="R53">
        <f t="shared" ca="1" si="8"/>
        <v>32</v>
      </c>
      <c r="S53">
        <f t="shared" ca="1" si="9"/>
        <v>21</v>
      </c>
      <c r="T53">
        <f t="shared" ca="1" si="10"/>
        <v>26</v>
      </c>
      <c r="U53">
        <f t="shared" ca="1" si="11"/>
        <v>34</v>
      </c>
      <c r="W53">
        <f t="shared" ca="1" si="12"/>
        <v>1000</v>
      </c>
      <c r="X53">
        <f t="shared" ca="1" si="13"/>
        <v>1000</v>
      </c>
      <c r="Y53">
        <f t="shared" ca="1" si="14"/>
        <v>1000</v>
      </c>
      <c r="Z53">
        <f t="shared" ca="1" si="15"/>
        <v>1000</v>
      </c>
      <c r="AA53">
        <f t="shared" ca="1" si="16"/>
        <v>1000</v>
      </c>
      <c r="AC53" t="str">
        <f t="shared" ca="1" si="21"/>
        <v/>
      </c>
      <c r="AD53" t="str">
        <f t="shared" ca="1" si="22"/>
        <v/>
      </c>
      <c r="AE53" t="str">
        <f t="shared" ca="1" si="23"/>
        <v/>
      </c>
      <c r="AF53" t="str">
        <f t="shared" ca="1" si="24"/>
        <v/>
      </c>
      <c r="AG53" t="str">
        <f t="shared" ca="1" si="25"/>
        <v/>
      </c>
      <c r="AI53" t="str">
        <f ca="1">IF(W53=1000,"",INDEX(tblCountries!$H$3:$H$57,W53))</f>
        <v/>
      </c>
      <c r="AJ53" t="str">
        <f ca="1">IF(X53=1000,"",INDEX(tblCountries!$H$3:$H$57,X53))</f>
        <v/>
      </c>
      <c r="AK53" t="str">
        <f ca="1">IF(Y53=1000,"",INDEX(tblCountries!$H$3:$H$57,Y53))</f>
        <v/>
      </c>
      <c r="AL53" t="str">
        <f ca="1">IF(Z53=1000,"",INDEX(tblCountries!$H$3:$H$57,Z53))</f>
        <v/>
      </c>
      <c r="AM53" t="str">
        <f ca="1">IF(AA53=1000,"",INDEX(tblCountries!$H$3:$H$57,AA53))</f>
        <v/>
      </c>
    </row>
    <row r="54" spans="1:39">
      <c r="A54">
        <v>37</v>
      </c>
      <c r="B54">
        <f ca="1">tblCountries!H39</f>
        <v>2</v>
      </c>
      <c r="C54">
        <f t="shared" ca="1" si="20"/>
        <v>2</v>
      </c>
      <c r="E54">
        <f t="shared" ca="1" si="19"/>
        <v>1000</v>
      </c>
      <c r="F54">
        <f t="shared" ca="1" si="19"/>
        <v>1000</v>
      </c>
      <c r="G54">
        <f t="shared" ca="1" si="19"/>
        <v>37</v>
      </c>
      <c r="H54">
        <f t="shared" ca="1" si="19"/>
        <v>1000</v>
      </c>
      <c r="I54">
        <f t="shared" ca="1" si="19"/>
        <v>1000</v>
      </c>
      <c r="K54">
        <f ca="1">RANK(E54,E$18:E$72,-1)+COUNTIF(E$18:E54,E54)-1</f>
        <v>37</v>
      </c>
      <c r="L54">
        <f ca="1">RANK(F54,F$18:F$72,-1)+COUNTIF(F$18:F54,F54)-1</f>
        <v>41</v>
      </c>
      <c r="M54">
        <f ca="1">RANK(G54,G$18:G$72,-1)+COUNTIF(G$18:G54,G54)-1</f>
        <v>22</v>
      </c>
      <c r="N54">
        <f ca="1">RANK(H54,H$18:H$72,-1)+COUNTIF(H$18:H54,H54)-1</f>
        <v>45</v>
      </c>
      <c r="O54">
        <f ca="1">RANK(I54,I$18:I$72,-1)+COUNTIF(I$18:I54,I54)-1</f>
        <v>39</v>
      </c>
      <c r="Q54">
        <f t="shared" ca="1" si="7"/>
        <v>37</v>
      </c>
      <c r="R54">
        <f t="shared" ca="1" si="8"/>
        <v>33</v>
      </c>
      <c r="S54">
        <f t="shared" ca="1" si="9"/>
        <v>24</v>
      </c>
      <c r="T54">
        <f t="shared" ca="1" si="10"/>
        <v>27</v>
      </c>
      <c r="U54">
        <f t="shared" ca="1" si="11"/>
        <v>35</v>
      </c>
      <c r="W54">
        <f t="shared" ca="1" si="12"/>
        <v>1000</v>
      </c>
      <c r="X54">
        <f t="shared" ca="1" si="13"/>
        <v>1000</v>
      </c>
      <c r="Y54">
        <f t="shared" ca="1" si="14"/>
        <v>1000</v>
      </c>
      <c r="Z54">
        <f t="shared" ca="1" si="15"/>
        <v>1000</v>
      </c>
      <c r="AA54">
        <f t="shared" ca="1" si="16"/>
        <v>1000</v>
      </c>
      <c r="AC54" t="str">
        <f t="shared" ca="1" si="21"/>
        <v/>
      </c>
      <c r="AD54" t="str">
        <f t="shared" ca="1" si="22"/>
        <v/>
      </c>
      <c r="AE54" t="str">
        <f t="shared" ca="1" si="23"/>
        <v/>
      </c>
      <c r="AF54" t="str">
        <f t="shared" ca="1" si="24"/>
        <v/>
      </c>
      <c r="AG54" t="str">
        <f t="shared" ca="1" si="25"/>
        <v/>
      </c>
      <c r="AI54" t="str">
        <f ca="1">IF(W54=1000,"",INDEX(tblCountries!$H$3:$H$57,W54))</f>
        <v/>
      </c>
      <c r="AJ54" t="str">
        <f ca="1">IF(X54=1000,"",INDEX(tblCountries!$H$3:$H$57,X54))</f>
        <v/>
      </c>
      <c r="AK54" t="str">
        <f ca="1">IF(Y54=1000,"",INDEX(tblCountries!$H$3:$H$57,Y54))</f>
        <v/>
      </c>
      <c r="AL54" t="str">
        <f ca="1">IF(Z54=1000,"",INDEX(tblCountries!$H$3:$H$57,Z54))</f>
        <v/>
      </c>
      <c r="AM54" t="str">
        <f ca="1">IF(AA54=1000,"",INDEX(tblCountries!$H$3:$H$57,AA54))</f>
        <v/>
      </c>
    </row>
    <row r="55" spans="1:39">
      <c r="A55">
        <v>38</v>
      </c>
      <c r="B55">
        <f ca="1">tblCountries!H40</f>
        <v>2</v>
      </c>
      <c r="C55">
        <f t="shared" ca="1" si="20"/>
        <v>3</v>
      </c>
      <c r="E55">
        <f t="shared" ca="1" si="19"/>
        <v>1000</v>
      </c>
      <c r="F55">
        <f t="shared" ca="1" si="19"/>
        <v>1000</v>
      </c>
      <c r="G55">
        <f t="shared" ca="1" si="19"/>
        <v>1000</v>
      </c>
      <c r="H55">
        <f t="shared" ca="1" si="19"/>
        <v>38</v>
      </c>
      <c r="I55">
        <f t="shared" ca="1" si="19"/>
        <v>1000</v>
      </c>
      <c r="K55">
        <f ca="1">RANK(E55,E$18:E$72,-1)+COUNTIF(E$18:E55,E55)-1</f>
        <v>38</v>
      </c>
      <c r="L55">
        <f ca="1">RANK(F55,F$18:F$72,-1)+COUNTIF(F$18:F55,F55)-1</f>
        <v>42</v>
      </c>
      <c r="M55">
        <f ca="1">RANK(G55,G$18:G$72,-1)+COUNTIF(G$18:G55,G55)-1</f>
        <v>42</v>
      </c>
      <c r="N55">
        <f ca="1">RANK(H55,H$18:H$72,-1)+COUNTIF(H$18:H55,H55)-1</f>
        <v>12</v>
      </c>
      <c r="O55">
        <f ca="1">RANK(I55,I$18:I$72,-1)+COUNTIF(I$18:I55,I55)-1</f>
        <v>40</v>
      </c>
      <c r="Q55">
        <f t="shared" ca="1" si="7"/>
        <v>38</v>
      </c>
      <c r="R55">
        <f t="shared" ca="1" si="8"/>
        <v>34</v>
      </c>
      <c r="S55">
        <f t="shared" ca="1" si="9"/>
        <v>26</v>
      </c>
      <c r="T55">
        <f t="shared" ca="1" si="10"/>
        <v>29</v>
      </c>
      <c r="U55">
        <f t="shared" ca="1" si="11"/>
        <v>36</v>
      </c>
      <c r="W55">
        <f t="shared" ca="1" si="12"/>
        <v>1000</v>
      </c>
      <c r="X55">
        <f t="shared" ca="1" si="13"/>
        <v>1000</v>
      </c>
      <c r="Y55">
        <f t="shared" ca="1" si="14"/>
        <v>1000</v>
      </c>
      <c r="Z55">
        <f t="shared" ca="1" si="15"/>
        <v>1000</v>
      </c>
      <c r="AA55">
        <f t="shared" ca="1" si="16"/>
        <v>1000</v>
      </c>
      <c r="AC55" t="str">
        <f t="shared" ca="1" si="21"/>
        <v/>
      </c>
      <c r="AD55" t="str">
        <f t="shared" ca="1" si="22"/>
        <v/>
      </c>
      <c r="AE55" t="str">
        <f t="shared" ca="1" si="23"/>
        <v/>
      </c>
      <c r="AF55" t="str">
        <f t="shared" ca="1" si="24"/>
        <v/>
      </c>
      <c r="AG55" t="str">
        <f t="shared" ca="1" si="25"/>
        <v/>
      </c>
      <c r="AI55" t="str">
        <f ca="1">IF(W55=1000,"",INDEX(tblCountries!$H$3:$H$57,W55))</f>
        <v/>
      </c>
      <c r="AJ55" t="str">
        <f ca="1">IF(X55=1000,"",INDEX(tblCountries!$H$3:$H$57,X55))</f>
        <v/>
      </c>
      <c r="AK55" t="str">
        <f ca="1">IF(Y55=1000,"",INDEX(tblCountries!$H$3:$H$57,Y55))</f>
        <v/>
      </c>
      <c r="AL55" t="str">
        <f ca="1">IF(Z55=1000,"",INDEX(tblCountries!$H$3:$H$57,Z55))</f>
        <v/>
      </c>
      <c r="AM55" t="str">
        <f ca="1">IF(AA55=1000,"",INDEX(tblCountries!$H$3:$H$57,AA55))</f>
        <v/>
      </c>
    </row>
    <row r="56" spans="1:39">
      <c r="A56">
        <v>39</v>
      </c>
      <c r="B56">
        <f ca="1">tblCountries!H41</f>
        <v>2</v>
      </c>
      <c r="C56">
        <f t="shared" ca="1" si="20"/>
        <v>3</v>
      </c>
      <c r="E56">
        <f t="shared" ca="1" si="19"/>
        <v>1000</v>
      </c>
      <c r="F56">
        <f t="shared" ca="1" si="19"/>
        <v>1000</v>
      </c>
      <c r="G56">
        <f t="shared" ca="1" si="19"/>
        <v>1000</v>
      </c>
      <c r="H56">
        <f t="shared" ca="1" si="19"/>
        <v>39</v>
      </c>
      <c r="I56">
        <f t="shared" ca="1" si="19"/>
        <v>1000</v>
      </c>
      <c r="K56">
        <f ca="1">RANK(E56,E$18:E$72,-1)+COUNTIF(E$18:E56,E56)-1</f>
        <v>39</v>
      </c>
      <c r="L56">
        <f ca="1">RANK(F56,F$18:F$72,-1)+COUNTIF(F$18:F56,F56)-1</f>
        <v>43</v>
      </c>
      <c r="M56">
        <f ca="1">RANK(G56,G$18:G$72,-1)+COUNTIF(G$18:G56,G56)-1</f>
        <v>43</v>
      </c>
      <c r="N56">
        <f ca="1">RANK(H56,H$18:H$72,-1)+COUNTIF(H$18:H56,H56)-1</f>
        <v>13</v>
      </c>
      <c r="O56">
        <f ca="1">RANK(I56,I$18:I$72,-1)+COUNTIF(I$18:I56,I56)-1</f>
        <v>41</v>
      </c>
      <c r="Q56">
        <f t="shared" ca="1" si="7"/>
        <v>39</v>
      </c>
      <c r="R56">
        <f t="shared" ca="1" si="8"/>
        <v>35</v>
      </c>
      <c r="S56">
        <f t="shared" ca="1" si="9"/>
        <v>27</v>
      </c>
      <c r="T56">
        <f t="shared" ca="1" si="10"/>
        <v>30</v>
      </c>
      <c r="U56">
        <f t="shared" ca="1" si="11"/>
        <v>37</v>
      </c>
      <c r="W56">
        <f t="shared" ca="1" si="12"/>
        <v>1000</v>
      </c>
      <c r="X56">
        <f t="shared" ca="1" si="13"/>
        <v>1000</v>
      </c>
      <c r="Y56">
        <f t="shared" ca="1" si="14"/>
        <v>1000</v>
      </c>
      <c r="Z56">
        <f t="shared" ca="1" si="15"/>
        <v>1000</v>
      </c>
      <c r="AA56">
        <f t="shared" ca="1" si="16"/>
        <v>1000</v>
      </c>
      <c r="AC56" t="str">
        <f t="shared" ca="1" si="21"/>
        <v/>
      </c>
      <c r="AD56" t="str">
        <f t="shared" ca="1" si="22"/>
        <v/>
      </c>
      <c r="AE56" t="str">
        <f t="shared" ca="1" si="23"/>
        <v/>
      </c>
      <c r="AF56" t="str">
        <f t="shared" ca="1" si="24"/>
        <v/>
      </c>
      <c r="AG56" t="str">
        <f t="shared" ca="1" si="25"/>
        <v/>
      </c>
      <c r="AI56" t="str">
        <f ca="1">IF(W56=1000,"",INDEX(tblCountries!$H$3:$H$57,W56))</f>
        <v/>
      </c>
      <c r="AJ56" t="str">
        <f ca="1">IF(X56=1000,"",INDEX(tblCountries!$H$3:$H$57,X56))</f>
        <v/>
      </c>
      <c r="AK56" t="str">
        <f ca="1">IF(Y56=1000,"",INDEX(tblCountries!$H$3:$H$57,Y56))</f>
        <v/>
      </c>
      <c r="AL56" t="str">
        <f ca="1">IF(Z56=1000,"",INDEX(tblCountries!$H$3:$H$57,Z56))</f>
        <v/>
      </c>
      <c r="AM56" t="str">
        <f ca="1">IF(AA56=1000,"",INDEX(tblCountries!$H$3:$H$57,AA56))</f>
        <v/>
      </c>
    </row>
    <row r="57" spans="1:39">
      <c r="A57">
        <v>40</v>
      </c>
      <c r="B57">
        <f ca="1">tblCountries!H42</f>
        <v>2</v>
      </c>
      <c r="C57">
        <f t="shared" ca="1" si="20"/>
        <v>3</v>
      </c>
      <c r="E57">
        <f t="shared" ca="1" si="19"/>
        <v>1000</v>
      </c>
      <c r="F57">
        <f t="shared" ca="1" si="19"/>
        <v>1000</v>
      </c>
      <c r="G57">
        <f t="shared" ca="1" si="19"/>
        <v>1000</v>
      </c>
      <c r="H57">
        <f t="shared" ca="1" si="19"/>
        <v>40</v>
      </c>
      <c r="I57">
        <f t="shared" ca="1" si="19"/>
        <v>1000</v>
      </c>
      <c r="K57">
        <f ca="1">RANK(E57,E$18:E$72,-1)+COUNTIF(E$18:E57,E57)-1</f>
        <v>40</v>
      </c>
      <c r="L57">
        <f ca="1">RANK(F57,F$18:F$72,-1)+COUNTIF(F$18:F57,F57)-1</f>
        <v>44</v>
      </c>
      <c r="M57">
        <f ca="1">RANK(G57,G$18:G$72,-1)+COUNTIF(G$18:G57,G57)-1</f>
        <v>44</v>
      </c>
      <c r="N57">
        <f ca="1">RANK(H57,H$18:H$72,-1)+COUNTIF(H$18:H57,H57)-1</f>
        <v>14</v>
      </c>
      <c r="O57">
        <f ca="1">RANK(I57,I$18:I$72,-1)+COUNTIF(I$18:I57,I57)-1</f>
        <v>42</v>
      </c>
      <c r="Q57">
        <f t="shared" ca="1" si="7"/>
        <v>40</v>
      </c>
      <c r="R57">
        <f t="shared" ca="1" si="8"/>
        <v>36</v>
      </c>
      <c r="S57">
        <f t="shared" ca="1" si="9"/>
        <v>28</v>
      </c>
      <c r="T57">
        <f t="shared" ca="1" si="10"/>
        <v>31</v>
      </c>
      <c r="U57">
        <f t="shared" ca="1" si="11"/>
        <v>38</v>
      </c>
      <c r="W57">
        <f t="shared" ca="1" si="12"/>
        <v>1000</v>
      </c>
      <c r="X57">
        <f t="shared" ca="1" si="13"/>
        <v>1000</v>
      </c>
      <c r="Y57">
        <f t="shared" ca="1" si="14"/>
        <v>1000</v>
      </c>
      <c r="Z57">
        <f t="shared" ca="1" si="15"/>
        <v>1000</v>
      </c>
      <c r="AA57">
        <f t="shared" ca="1" si="16"/>
        <v>1000</v>
      </c>
      <c r="AC57" t="str">
        <f t="shared" ca="1" si="21"/>
        <v/>
      </c>
      <c r="AD57" t="str">
        <f t="shared" ca="1" si="22"/>
        <v/>
      </c>
      <c r="AE57" t="str">
        <f t="shared" ca="1" si="23"/>
        <v/>
      </c>
      <c r="AF57" t="str">
        <f t="shared" ca="1" si="24"/>
        <v/>
      </c>
      <c r="AG57" t="str">
        <f t="shared" ca="1" si="25"/>
        <v/>
      </c>
      <c r="AI57" t="str">
        <f ca="1">IF(W57=1000,"",INDEX(tblCountries!$H$3:$H$57,W57))</f>
        <v/>
      </c>
      <c r="AJ57" t="str">
        <f ca="1">IF(X57=1000,"",INDEX(tblCountries!$H$3:$H$57,X57))</f>
        <v/>
      </c>
      <c r="AK57" t="str">
        <f ca="1">IF(Y57=1000,"",INDEX(tblCountries!$H$3:$H$57,Y57))</f>
        <v/>
      </c>
      <c r="AL57" t="str">
        <f ca="1">IF(Z57=1000,"",INDEX(tblCountries!$H$3:$H$57,Z57))</f>
        <v/>
      </c>
      <c r="AM57" t="str">
        <f ca="1">IF(AA57=1000,"",INDEX(tblCountries!$H$3:$H$57,AA57))</f>
        <v/>
      </c>
    </row>
    <row r="58" spans="1:39">
      <c r="A58">
        <v>41</v>
      </c>
      <c r="B58">
        <f ca="1">tblCountries!H43</f>
        <v>2</v>
      </c>
      <c r="C58">
        <f t="shared" ca="1" si="20"/>
        <v>3</v>
      </c>
      <c r="E58">
        <f t="shared" ref="E58:I67" ca="1" si="26">IF($B58=0,1000,IF(AND($C58&gt;=E$16,$C58&lt;F$16),$A58,1000))</f>
        <v>1000</v>
      </c>
      <c r="F58">
        <f t="shared" ca="1" si="26"/>
        <v>1000</v>
      </c>
      <c r="G58">
        <f t="shared" ca="1" si="26"/>
        <v>1000</v>
      </c>
      <c r="H58">
        <f t="shared" ca="1" si="26"/>
        <v>41</v>
      </c>
      <c r="I58">
        <f t="shared" ca="1" si="26"/>
        <v>1000</v>
      </c>
      <c r="K58">
        <f ca="1">RANK(E58,E$18:E$72,-1)+COUNTIF(E$18:E58,E58)-1</f>
        <v>41</v>
      </c>
      <c r="L58">
        <f ca="1">RANK(F58,F$18:F$72,-1)+COUNTIF(F$18:F58,F58)-1</f>
        <v>45</v>
      </c>
      <c r="M58">
        <f ca="1">RANK(G58,G$18:G$72,-1)+COUNTIF(G$18:G58,G58)-1</f>
        <v>45</v>
      </c>
      <c r="N58">
        <f ca="1">RANK(H58,H$18:H$72,-1)+COUNTIF(H$18:H58,H58)-1</f>
        <v>15</v>
      </c>
      <c r="O58">
        <f ca="1">RANK(I58,I$18:I$72,-1)+COUNTIF(I$18:I58,I58)-1</f>
        <v>43</v>
      </c>
      <c r="Q58">
        <f t="shared" ca="1" si="7"/>
        <v>41</v>
      </c>
      <c r="R58">
        <f t="shared" ca="1" si="8"/>
        <v>37</v>
      </c>
      <c r="S58">
        <f t="shared" ca="1" si="9"/>
        <v>32</v>
      </c>
      <c r="T58">
        <f t="shared" ca="1" si="10"/>
        <v>33</v>
      </c>
      <c r="U58">
        <f t="shared" ca="1" si="11"/>
        <v>39</v>
      </c>
      <c r="W58">
        <f t="shared" ca="1" si="12"/>
        <v>1000</v>
      </c>
      <c r="X58">
        <f t="shared" ca="1" si="13"/>
        <v>1000</v>
      </c>
      <c r="Y58">
        <f t="shared" ca="1" si="14"/>
        <v>1000</v>
      </c>
      <c r="Z58">
        <f t="shared" ca="1" si="15"/>
        <v>1000</v>
      </c>
      <c r="AA58">
        <f t="shared" ca="1" si="16"/>
        <v>1000</v>
      </c>
      <c r="AC58" t="str">
        <f t="shared" ca="1" si="21"/>
        <v/>
      </c>
      <c r="AD58" t="str">
        <f t="shared" ca="1" si="22"/>
        <v/>
      </c>
      <c r="AE58" t="str">
        <f t="shared" ca="1" si="23"/>
        <v/>
      </c>
      <c r="AF58" t="str">
        <f t="shared" ca="1" si="24"/>
        <v/>
      </c>
      <c r="AG58" t="str">
        <f t="shared" ca="1" si="25"/>
        <v/>
      </c>
      <c r="AI58" t="str">
        <f ca="1">IF(W58=1000,"",INDEX(tblCountries!$H$3:$H$57,W58))</f>
        <v/>
      </c>
      <c r="AJ58" t="str">
        <f ca="1">IF(X58=1000,"",INDEX(tblCountries!$H$3:$H$57,X58))</f>
        <v/>
      </c>
      <c r="AK58" t="str">
        <f ca="1">IF(Y58=1000,"",INDEX(tblCountries!$H$3:$H$57,Y58))</f>
        <v/>
      </c>
      <c r="AL58" t="str">
        <f ca="1">IF(Z58=1000,"",INDEX(tblCountries!$H$3:$H$57,Z58))</f>
        <v/>
      </c>
      <c r="AM58" t="str">
        <f ca="1">IF(AA58=1000,"",INDEX(tblCountries!$H$3:$H$57,AA58))</f>
        <v/>
      </c>
    </row>
    <row r="59" spans="1:39">
      <c r="A59">
        <v>42</v>
      </c>
      <c r="B59">
        <f ca="1">tblCountries!H44</f>
        <v>2</v>
      </c>
      <c r="C59">
        <f t="shared" ca="1" si="20"/>
        <v>4</v>
      </c>
      <c r="E59">
        <f t="shared" ca="1" si="26"/>
        <v>1000</v>
      </c>
      <c r="F59">
        <f t="shared" ca="1" si="26"/>
        <v>1000</v>
      </c>
      <c r="G59">
        <f t="shared" ca="1" si="26"/>
        <v>1000</v>
      </c>
      <c r="H59">
        <f t="shared" ca="1" si="26"/>
        <v>1000</v>
      </c>
      <c r="I59">
        <f t="shared" ca="1" si="26"/>
        <v>42</v>
      </c>
      <c r="K59">
        <f ca="1">RANK(E59,E$18:E$72,-1)+COUNTIF(E$18:E59,E59)-1</f>
        <v>42</v>
      </c>
      <c r="L59">
        <f ca="1">RANK(F59,F$18:F$72,-1)+COUNTIF(F$18:F59,F59)-1</f>
        <v>46</v>
      </c>
      <c r="M59">
        <f ca="1">RANK(G59,G$18:G$72,-1)+COUNTIF(G$18:G59,G59)-1</f>
        <v>46</v>
      </c>
      <c r="N59">
        <f ca="1">RANK(H59,H$18:H$72,-1)+COUNTIF(H$18:H59,H59)-1</f>
        <v>46</v>
      </c>
      <c r="O59">
        <f ca="1">RANK(I59,I$18:I$72,-1)+COUNTIF(I$18:I59,I59)-1</f>
        <v>3</v>
      </c>
      <c r="Q59">
        <f t="shared" ca="1" si="7"/>
        <v>42</v>
      </c>
      <c r="R59">
        <f t="shared" ca="1" si="8"/>
        <v>38</v>
      </c>
      <c r="S59">
        <f t="shared" ca="1" si="9"/>
        <v>38</v>
      </c>
      <c r="T59">
        <f t="shared" ca="1" si="10"/>
        <v>34</v>
      </c>
      <c r="U59">
        <f t="shared" ca="1" si="11"/>
        <v>40</v>
      </c>
      <c r="W59">
        <f t="shared" ca="1" si="12"/>
        <v>1000</v>
      </c>
      <c r="X59">
        <f t="shared" ca="1" si="13"/>
        <v>1000</v>
      </c>
      <c r="Y59">
        <f t="shared" ca="1" si="14"/>
        <v>1000</v>
      </c>
      <c r="Z59">
        <f t="shared" ca="1" si="15"/>
        <v>1000</v>
      </c>
      <c r="AA59">
        <f t="shared" ca="1" si="16"/>
        <v>1000</v>
      </c>
      <c r="AC59" t="str">
        <f t="shared" ca="1" si="21"/>
        <v/>
      </c>
      <c r="AD59" t="str">
        <f t="shared" ca="1" si="22"/>
        <v/>
      </c>
      <c r="AE59" t="str">
        <f t="shared" ca="1" si="23"/>
        <v/>
      </c>
      <c r="AF59" t="str">
        <f t="shared" ca="1" si="24"/>
        <v/>
      </c>
      <c r="AG59" t="str">
        <f t="shared" ca="1" si="25"/>
        <v/>
      </c>
      <c r="AI59" t="str">
        <f ca="1">IF(W59=1000,"",INDEX(tblCountries!$H$3:$H$57,W59))</f>
        <v/>
      </c>
      <c r="AJ59" t="str">
        <f ca="1">IF(X59=1000,"",INDEX(tblCountries!$H$3:$H$57,X59))</f>
        <v/>
      </c>
      <c r="AK59" t="str">
        <f ca="1">IF(Y59=1000,"",INDEX(tblCountries!$H$3:$H$57,Y59))</f>
        <v/>
      </c>
      <c r="AL59" t="str">
        <f ca="1">IF(Z59=1000,"",INDEX(tblCountries!$H$3:$H$57,Z59))</f>
        <v/>
      </c>
      <c r="AM59" t="str">
        <f ca="1">IF(AA59=1000,"",INDEX(tblCountries!$H$3:$H$57,AA59))</f>
        <v/>
      </c>
    </row>
    <row r="60" spans="1:39">
      <c r="A60">
        <v>43</v>
      </c>
      <c r="B60">
        <f ca="1">tblCountries!H45</f>
        <v>2</v>
      </c>
      <c r="C60">
        <f t="shared" ca="1" si="20"/>
        <v>3</v>
      </c>
      <c r="E60">
        <f t="shared" ca="1" si="26"/>
        <v>1000</v>
      </c>
      <c r="F60">
        <f t="shared" ca="1" si="26"/>
        <v>1000</v>
      </c>
      <c r="G60">
        <f t="shared" ca="1" si="26"/>
        <v>1000</v>
      </c>
      <c r="H60">
        <f t="shared" ca="1" si="26"/>
        <v>43</v>
      </c>
      <c r="I60">
        <f t="shared" ca="1" si="26"/>
        <v>1000</v>
      </c>
      <c r="K60">
        <f ca="1">RANK(E60,E$18:E$72,-1)+COUNTIF(E$18:E60,E60)-1</f>
        <v>43</v>
      </c>
      <c r="L60">
        <f ca="1">RANK(F60,F$18:F$72,-1)+COUNTIF(F$18:F60,F60)-1</f>
        <v>47</v>
      </c>
      <c r="M60">
        <f ca="1">RANK(G60,G$18:G$72,-1)+COUNTIF(G$18:G60,G60)-1</f>
        <v>47</v>
      </c>
      <c r="N60">
        <f ca="1">RANK(H60,H$18:H$72,-1)+COUNTIF(H$18:H60,H60)-1</f>
        <v>16</v>
      </c>
      <c r="O60">
        <f ca="1">RANK(I60,I$18:I$72,-1)+COUNTIF(I$18:I60,I60)-1</f>
        <v>44</v>
      </c>
      <c r="Q60">
        <f t="shared" ca="1" si="7"/>
        <v>43</v>
      </c>
      <c r="R60">
        <f t="shared" ca="1" si="8"/>
        <v>39</v>
      </c>
      <c r="S60">
        <f t="shared" ca="1" si="9"/>
        <v>39</v>
      </c>
      <c r="T60">
        <f t="shared" ca="1" si="10"/>
        <v>35</v>
      </c>
      <c r="U60">
        <f t="shared" ca="1" si="11"/>
        <v>41</v>
      </c>
      <c r="W60">
        <f t="shared" ca="1" si="12"/>
        <v>1000</v>
      </c>
      <c r="X60">
        <f t="shared" ca="1" si="13"/>
        <v>1000</v>
      </c>
      <c r="Y60">
        <f t="shared" ca="1" si="14"/>
        <v>1000</v>
      </c>
      <c r="Z60">
        <f t="shared" ca="1" si="15"/>
        <v>1000</v>
      </c>
      <c r="AA60">
        <f t="shared" ca="1" si="16"/>
        <v>1000</v>
      </c>
      <c r="AC60" t="str">
        <f t="shared" ca="1" si="21"/>
        <v/>
      </c>
      <c r="AD60" t="str">
        <f t="shared" ca="1" si="22"/>
        <v/>
      </c>
      <c r="AE60" t="str">
        <f t="shared" ca="1" si="23"/>
        <v/>
      </c>
      <c r="AF60" t="str">
        <f t="shared" ca="1" si="24"/>
        <v/>
      </c>
      <c r="AG60" t="str">
        <f t="shared" ca="1" si="25"/>
        <v/>
      </c>
      <c r="AI60" t="str">
        <f ca="1">IF(W60=1000,"",INDEX(tblCountries!$H$3:$H$57,W60))</f>
        <v/>
      </c>
      <c r="AJ60" t="str">
        <f ca="1">IF(X60=1000,"",INDEX(tblCountries!$H$3:$H$57,X60))</f>
        <v/>
      </c>
      <c r="AK60" t="str">
        <f ca="1">IF(Y60=1000,"",INDEX(tblCountries!$H$3:$H$57,Y60))</f>
        <v/>
      </c>
      <c r="AL60" t="str">
        <f ca="1">IF(Z60=1000,"",INDEX(tblCountries!$H$3:$H$57,Z60))</f>
        <v/>
      </c>
      <c r="AM60" t="str">
        <f ca="1">IF(AA60=1000,"",INDEX(tblCountries!$H$3:$H$57,AA60))</f>
        <v/>
      </c>
    </row>
    <row r="61" spans="1:39">
      <c r="A61">
        <v>44</v>
      </c>
      <c r="B61">
        <f ca="1">tblCountries!H46</f>
        <v>2</v>
      </c>
      <c r="C61">
        <f t="shared" ca="1" si="20"/>
        <v>2</v>
      </c>
      <c r="E61">
        <f t="shared" ca="1" si="26"/>
        <v>1000</v>
      </c>
      <c r="F61">
        <f t="shared" ca="1" si="26"/>
        <v>1000</v>
      </c>
      <c r="G61">
        <f t="shared" ca="1" si="26"/>
        <v>44</v>
      </c>
      <c r="H61">
        <f t="shared" ca="1" si="26"/>
        <v>1000</v>
      </c>
      <c r="I61">
        <f t="shared" ca="1" si="26"/>
        <v>1000</v>
      </c>
      <c r="K61">
        <f ca="1">RANK(E61,E$18:E$72,-1)+COUNTIF(E$18:E61,E61)-1</f>
        <v>44</v>
      </c>
      <c r="L61">
        <f ca="1">RANK(F61,F$18:F$72,-1)+COUNTIF(F$18:F61,F61)-1</f>
        <v>48</v>
      </c>
      <c r="M61">
        <f ca="1">RANK(G61,G$18:G$72,-1)+COUNTIF(G$18:G61,G61)-1</f>
        <v>23</v>
      </c>
      <c r="N61">
        <f ca="1">RANK(H61,H$18:H$72,-1)+COUNTIF(H$18:H61,H61)-1</f>
        <v>47</v>
      </c>
      <c r="O61">
        <f ca="1">RANK(I61,I$18:I$72,-1)+COUNTIF(I$18:I61,I61)-1</f>
        <v>45</v>
      </c>
      <c r="Q61">
        <f t="shared" ca="1" si="7"/>
        <v>44</v>
      </c>
      <c r="R61">
        <f t="shared" ca="1" si="8"/>
        <v>40</v>
      </c>
      <c r="S61">
        <f t="shared" ca="1" si="9"/>
        <v>40</v>
      </c>
      <c r="T61">
        <f t="shared" ca="1" si="10"/>
        <v>36</v>
      </c>
      <c r="U61">
        <f t="shared" ca="1" si="11"/>
        <v>43</v>
      </c>
      <c r="W61">
        <f t="shared" ca="1" si="12"/>
        <v>1000</v>
      </c>
      <c r="X61">
        <f t="shared" ca="1" si="13"/>
        <v>1000</v>
      </c>
      <c r="Y61">
        <f t="shared" ca="1" si="14"/>
        <v>1000</v>
      </c>
      <c r="Z61">
        <f t="shared" ca="1" si="15"/>
        <v>1000</v>
      </c>
      <c r="AA61">
        <f t="shared" ca="1" si="16"/>
        <v>1000</v>
      </c>
      <c r="AC61" t="str">
        <f t="shared" ca="1" si="21"/>
        <v/>
      </c>
      <c r="AD61" t="str">
        <f t="shared" ca="1" si="22"/>
        <v/>
      </c>
      <c r="AE61" t="str">
        <f t="shared" ca="1" si="23"/>
        <v/>
      </c>
      <c r="AF61" t="str">
        <f t="shared" ca="1" si="24"/>
        <v/>
      </c>
      <c r="AG61" t="str">
        <f t="shared" ca="1" si="25"/>
        <v/>
      </c>
      <c r="AI61" t="str">
        <f ca="1">IF(W61=1000,"",INDEX(tblCountries!$H$3:$H$57,W61))</f>
        <v/>
      </c>
      <c r="AJ61" t="str">
        <f ca="1">IF(X61=1000,"",INDEX(tblCountries!$H$3:$H$57,X61))</f>
        <v/>
      </c>
      <c r="AK61" t="str">
        <f ca="1">IF(Y61=1000,"",INDEX(tblCountries!$H$3:$H$57,Y61))</f>
        <v/>
      </c>
      <c r="AL61" t="str">
        <f ca="1">IF(Z61=1000,"",INDEX(tblCountries!$H$3:$H$57,Z61))</f>
        <v/>
      </c>
      <c r="AM61" t="str">
        <f ca="1">IF(AA61=1000,"",INDEX(tblCountries!$H$3:$H$57,AA61))</f>
        <v/>
      </c>
    </row>
    <row r="62" spans="1:39">
      <c r="A62">
        <v>45</v>
      </c>
      <c r="B62">
        <f ca="1">tblCountries!H47</f>
        <v>2</v>
      </c>
      <c r="C62">
        <f t="shared" ca="1" si="20"/>
        <v>2</v>
      </c>
      <c r="E62">
        <f t="shared" ca="1" si="26"/>
        <v>1000</v>
      </c>
      <c r="F62">
        <f t="shared" ca="1" si="26"/>
        <v>1000</v>
      </c>
      <c r="G62">
        <f t="shared" ca="1" si="26"/>
        <v>45</v>
      </c>
      <c r="H62">
        <f t="shared" ca="1" si="26"/>
        <v>1000</v>
      </c>
      <c r="I62">
        <f t="shared" ca="1" si="26"/>
        <v>1000</v>
      </c>
      <c r="K62">
        <f ca="1">RANK(E62,E$18:E$72,-1)+COUNTIF(E$18:E62,E62)-1</f>
        <v>45</v>
      </c>
      <c r="L62">
        <f ca="1">RANK(F62,F$18:F$72,-1)+COUNTIF(F$18:F62,F62)-1</f>
        <v>49</v>
      </c>
      <c r="M62">
        <f ca="1">RANK(G62,G$18:G$72,-1)+COUNTIF(G$18:G62,G62)-1</f>
        <v>24</v>
      </c>
      <c r="N62">
        <f ca="1">RANK(H62,H$18:H$72,-1)+COUNTIF(H$18:H62,H62)-1</f>
        <v>48</v>
      </c>
      <c r="O62">
        <f ca="1">RANK(I62,I$18:I$72,-1)+COUNTIF(I$18:I62,I62)-1</f>
        <v>46</v>
      </c>
      <c r="Q62">
        <f t="shared" ca="1" si="7"/>
        <v>45</v>
      </c>
      <c r="R62">
        <f t="shared" ca="1" si="8"/>
        <v>41</v>
      </c>
      <c r="S62">
        <f t="shared" ca="1" si="9"/>
        <v>41</v>
      </c>
      <c r="T62">
        <f t="shared" ca="1" si="10"/>
        <v>37</v>
      </c>
      <c r="U62">
        <f t="shared" ca="1" si="11"/>
        <v>44</v>
      </c>
      <c r="W62">
        <f t="shared" ca="1" si="12"/>
        <v>1000</v>
      </c>
      <c r="X62">
        <f t="shared" ca="1" si="13"/>
        <v>1000</v>
      </c>
      <c r="Y62">
        <f t="shared" ca="1" si="14"/>
        <v>1000</v>
      </c>
      <c r="Z62">
        <f t="shared" ca="1" si="15"/>
        <v>1000</v>
      </c>
      <c r="AA62">
        <f t="shared" ca="1" si="16"/>
        <v>1000</v>
      </c>
      <c r="AC62" t="str">
        <f t="shared" ca="1" si="21"/>
        <v/>
      </c>
      <c r="AD62" t="str">
        <f t="shared" ca="1" si="22"/>
        <v/>
      </c>
      <c r="AE62" t="str">
        <f t="shared" ca="1" si="23"/>
        <v/>
      </c>
      <c r="AF62" t="str">
        <f t="shared" ca="1" si="24"/>
        <v/>
      </c>
      <c r="AG62" t="str">
        <f t="shared" ca="1" si="25"/>
        <v/>
      </c>
      <c r="AI62" t="str">
        <f ca="1">IF(W62=1000,"",INDEX(tblCountries!$H$3:$H$57,W62))</f>
        <v/>
      </c>
      <c r="AJ62" t="str">
        <f ca="1">IF(X62=1000,"",INDEX(tblCountries!$H$3:$H$57,X62))</f>
        <v/>
      </c>
      <c r="AK62" t="str">
        <f ca="1">IF(Y62=1000,"",INDEX(tblCountries!$H$3:$H$57,Y62))</f>
        <v/>
      </c>
      <c r="AL62" t="str">
        <f ca="1">IF(Z62=1000,"",INDEX(tblCountries!$H$3:$H$57,Z62))</f>
        <v/>
      </c>
      <c r="AM62" t="str">
        <f ca="1">IF(AA62=1000,"",INDEX(tblCountries!$H$3:$H$57,AA62))</f>
        <v/>
      </c>
    </row>
    <row r="63" spans="1:39">
      <c r="A63">
        <v>46</v>
      </c>
      <c r="B63">
        <f ca="1">tblCountries!H48</f>
        <v>2</v>
      </c>
      <c r="C63">
        <f t="shared" ca="1" si="20"/>
        <v>3</v>
      </c>
      <c r="E63">
        <f t="shared" ca="1" si="26"/>
        <v>1000</v>
      </c>
      <c r="F63">
        <f t="shared" ca="1" si="26"/>
        <v>1000</v>
      </c>
      <c r="G63">
        <f t="shared" ca="1" si="26"/>
        <v>1000</v>
      </c>
      <c r="H63">
        <f t="shared" ca="1" si="26"/>
        <v>46</v>
      </c>
      <c r="I63">
        <f t="shared" ca="1" si="26"/>
        <v>1000</v>
      </c>
      <c r="K63">
        <f ca="1">RANK(E63,E$18:E$72,-1)+COUNTIF(E$18:E63,E63)-1</f>
        <v>46</v>
      </c>
      <c r="L63">
        <f ca="1">RANK(F63,F$18:F$72,-1)+COUNTIF(F$18:F63,F63)-1</f>
        <v>50</v>
      </c>
      <c r="M63">
        <f ca="1">RANK(G63,G$18:G$72,-1)+COUNTIF(G$18:G63,G63)-1</f>
        <v>48</v>
      </c>
      <c r="N63">
        <f ca="1">RANK(H63,H$18:H$72,-1)+COUNTIF(H$18:H63,H63)-1</f>
        <v>17</v>
      </c>
      <c r="O63">
        <f ca="1">RANK(I63,I$18:I$72,-1)+COUNTIF(I$18:I63,I63)-1</f>
        <v>47</v>
      </c>
      <c r="Q63">
        <f t="shared" ca="1" si="7"/>
        <v>46</v>
      </c>
      <c r="R63">
        <f t="shared" ca="1" si="8"/>
        <v>42</v>
      </c>
      <c r="S63">
        <f t="shared" ca="1" si="9"/>
        <v>42</v>
      </c>
      <c r="T63">
        <f t="shared" ca="1" si="10"/>
        <v>42</v>
      </c>
      <c r="U63">
        <f t="shared" ca="1" si="11"/>
        <v>45</v>
      </c>
      <c r="W63">
        <f t="shared" ca="1" si="12"/>
        <v>1000</v>
      </c>
      <c r="X63">
        <f t="shared" ca="1" si="13"/>
        <v>1000</v>
      </c>
      <c r="Y63">
        <f t="shared" ca="1" si="14"/>
        <v>1000</v>
      </c>
      <c r="Z63">
        <f t="shared" ca="1" si="15"/>
        <v>1000</v>
      </c>
      <c r="AA63">
        <f t="shared" ca="1" si="16"/>
        <v>1000</v>
      </c>
      <c r="AC63" t="str">
        <f t="shared" ca="1" si="21"/>
        <v/>
      </c>
      <c r="AD63" t="str">
        <f t="shared" ca="1" si="22"/>
        <v/>
      </c>
      <c r="AE63" t="str">
        <f t="shared" ca="1" si="23"/>
        <v/>
      </c>
      <c r="AF63" t="str">
        <f t="shared" ca="1" si="24"/>
        <v/>
      </c>
      <c r="AG63" t="str">
        <f t="shared" ca="1" si="25"/>
        <v/>
      </c>
      <c r="AI63" t="str">
        <f ca="1">IF(W63=1000,"",INDEX(tblCountries!$H$3:$H$57,W63))</f>
        <v/>
      </c>
      <c r="AJ63" t="str">
        <f ca="1">IF(X63=1000,"",INDEX(tblCountries!$H$3:$H$57,X63))</f>
        <v/>
      </c>
      <c r="AK63" t="str">
        <f ca="1">IF(Y63=1000,"",INDEX(tblCountries!$H$3:$H$57,Y63))</f>
        <v/>
      </c>
      <c r="AL63" t="str">
        <f ca="1">IF(Z63=1000,"",INDEX(tblCountries!$H$3:$H$57,Z63))</f>
        <v/>
      </c>
      <c r="AM63" t="str">
        <f ca="1">IF(AA63=1000,"",INDEX(tblCountries!$H$3:$H$57,AA63))</f>
        <v/>
      </c>
    </row>
    <row r="64" spans="1:39">
      <c r="A64">
        <v>47</v>
      </c>
      <c r="B64">
        <f ca="1">tblCountries!H49</f>
        <v>2</v>
      </c>
      <c r="C64">
        <f t="shared" ca="1" si="20"/>
        <v>3</v>
      </c>
      <c r="E64">
        <f t="shared" ca="1" si="26"/>
        <v>1000</v>
      </c>
      <c r="F64">
        <f t="shared" ca="1" si="26"/>
        <v>1000</v>
      </c>
      <c r="G64">
        <f t="shared" ca="1" si="26"/>
        <v>1000</v>
      </c>
      <c r="H64">
        <f t="shared" ca="1" si="26"/>
        <v>47</v>
      </c>
      <c r="I64">
        <f t="shared" ca="1" si="26"/>
        <v>1000</v>
      </c>
      <c r="K64">
        <f ca="1">RANK(E64,E$18:E$72,-1)+COUNTIF(E$18:E64,E64)-1</f>
        <v>47</v>
      </c>
      <c r="L64">
        <f ca="1">RANK(F64,F$18:F$72,-1)+COUNTIF(F$18:F64,F64)-1</f>
        <v>51</v>
      </c>
      <c r="M64">
        <f ca="1">RANK(G64,G$18:G$72,-1)+COUNTIF(G$18:G64,G64)-1</f>
        <v>49</v>
      </c>
      <c r="N64">
        <f ca="1">RANK(H64,H$18:H$72,-1)+COUNTIF(H$18:H64,H64)-1</f>
        <v>18</v>
      </c>
      <c r="O64">
        <f ca="1">RANK(I64,I$18:I$72,-1)+COUNTIF(I$18:I64,I64)-1</f>
        <v>48</v>
      </c>
      <c r="Q64">
        <f t="shared" ca="1" si="7"/>
        <v>47</v>
      </c>
      <c r="R64">
        <f t="shared" ca="1" si="8"/>
        <v>43</v>
      </c>
      <c r="S64">
        <f t="shared" ca="1" si="9"/>
        <v>43</v>
      </c>
      <c r="T64">
        <f t="shared" ca="1" si="10"/>
        <v>44</v>
      </c>
      <c r="U64">
        <f t="shared" ca="1" si="11"/>
        <v>46</v>
      </c>
      <c r="W64">
        <f t="shared" ca="1" si="12"/>
        <v>1000</v>
      </c>
      <c r="X64">
        <f t="shared" ca="1" si="13"/>
        <v>1000</v>
      </c>
      <c r="Y64">
        <f t="shared" ca="1" si="14"/>
        <v>1000</v>
      </c>
      <c r="Z64">
        <f t="shared" ca="1" si="15"/>
        <v>1000</v>
      </c>
      <c r="AA64">
        <f t="shared" ca="1" si="16"/>
        <v>1000</v>
      </c>
      <c r="AC64" t="str">
        <f t="shared" ca="1" si="21"/>
        <v/>
      </c>
      <c r="AD64" t="str">
        <f t="shared" ca="1" si="22"/>
        <v/>
      </c>
      <c r="AE64" t="str">
        <f t="shared" ca="1" si="23"/>
        <v/>
      </c>
      <c r="AF64" t="str">
        <f t="shared" ca="1" si="24"/>
        <v/>
      </c>
      <c r="AG64" t="str">
        <f t="shared" ca="1" si="25"/>
        <v/>
      </c>
      <c r="AI64" t="str">
        <f ca="1">IF(W64=1000,"",INDEX(tblCountries!$H$3:$H$57,W64))</f>
        <v/>
      </c>
      <c r="AJ64" t="str">
        <f ca="1">IF(X64=1000,"",INDEX(tblCountries!$H$3:$H$57,X64))</f>
        <v/>
      </c>
      <c r="AK64" t="str">
        <f ca="1">IF(Y64=1000,"",INDEX(tblCountries!$H$3:$H$57,Y64))</f>
        <v/>
      </c>
      <c r="AL64" t="str">
        <f ca="1">IF(Z64=1000,"",INDEX(tblCountries!$H$3:$H$57,Z64))</f>
        <v/>
      </c>
      <c r="AM64" t="str">
        <f ca="1">IF(AA64=1000,"",INDEX(tblCountries!$H$3:$H$57,AA64))</f>
        <v/>
      </c>
    </row>
    <row r="65" spans="1:39">
      <c r="A65">
        <v>48</v>
      </c>
      <c r="B65">
        <f ca="1">tblCountries!H50</f>
        <v>2</v>
      </c>
      <c r="C65">
        <f t="shared" ca="1" si="20"/>
        <v>1</v>
      </c>
      <c r="E65">
        <f t="shared" ca="1" si="26"/>
        <v>1000</v>
      </c>
      <c r="F65">
        <f t="shared" ca="1" si="26"/>
        <v>48</v>
      </c>
      <c r="G65">
        <f t="shared" ca="1" si="26"/>
        <v>1000</v>
      </c>
      <c r="H65">
        <f t="shared" ca="1" si="26"/>
        <v>1000</v>
      </c>
      <c r="I65">
        <f t="shared" ca="1" si="26"/>
        <v>1000</v>
      </c>
      <c r="K65">
        <f ca="1">RANK(E65,E$18:E$72,-1)+COUNTIF(E$18:E65,E65)-1</f>
        <v>48</v>
      </c>
      <c r="L65">
        <f ca="1">RANK(F65,F$18:F$72,-1)+COUNTIF(F$18:F65,F65)-1</f>
        <v>3</v>
      </c>
      <c r="M65">
        <f ca="1">RANK(G65,G$18:G$72,-1)+COUNTIF(G$18:G65,G65)-1</f>
        <v>50</v>
      </c>
      <c r="N65">
        <f ca="1">RANK(H65,H$18:H$72,-1)+COUNTIF(H$18:H65,H65)-1</f>
        <v>49</v>
      </c>
      <c r="O65">
        <f ca="1">RANK(I65,I$18:I$72,-1)+COUNTIF(I$18:I65,I65)-1</f>
        <v>49</v>
      </c>
      <c r="Q65">
        <f t="shared" ca="1" si="7"/>
        <v>48</v>
      </c>
      <c r="R65">
        <f t="shared" ca="1" si="8"/>
        <v>44</v>
      </c>
      <c r="S65">
        <f t="shared" ca="1" si="9"/>
        <v>46</v>
      </c>
      <c r="T65">
        <f t="shared" ca="1" si="10"/>
        <v>45</v>
      </c>
      <c r="U65">
        <f t="shared" ca="1" si="11"/>
        <v>47</v>
      </c>
      <c r="W65">
        <f t="shared" ca="1" si="12"/>
        <v>1000</v>
      </c>
      <c r="X65">
        <f t="shared" ca="1" si="13"/>
        <v>1000</v>
      </c>
      <c r="Y65">
        <f t="shared" ca="1" si="14"/>
        <v>1000</v>
      </c>
      <c r="Z65">
        <f t="shared" ca="1" si="15"/>
        <v>1000</v>
      </c>
      <c r="AA65">
        <f t="shared" ca="1" si="16"/>
        <v>1000</v>
      </c>
      <c r="AC65" t="str">
        <f t="shared" ca="1" si="21"/>
        <v/>
      </c>
      <c r="AD65" t="str">
        <f t="shared" ca="1" si="22"/>
        <v/>
      </c>
      <c r="AE65" t="str">
        <f t="shared" ca="1" si="23"/>
        <v/>
      </c>
      <c r="AF65" t="str">
        <f t="shared" ca="1" si="24"/>
        <v/>
      </c>
      <c r="AG65" t="str">
        <f t="shared" ca="1" si="25"/>
        <v/>
      </c>
      <c r="AI65" t="str">
        <f ca="1">IF(W65=1000,"",INDEX(tblCountries!$H$3:$H$57,W65))</f>
        <v/>
      </c>
      <c r="AJ65" t="str">
        <f ca="1">IF(X65=1000,"",INDEX(tblCountries!$H$3:$H$57,X65))</f>
        <v/>
      </c>
      <c r="AK65" t="str">
        <f ca="1">IF(Y65=1000,"",INDEX(tblCountries!$H$3:$H$57,Y65))</f>
        <v/>
      </c>
      <c r="AL65" t="str">
        <f ca="1">IF(Z65=1000,"",INDEX(tblCountries!$H$3:$H$57,Z65))</f>
        <v/>
      </c>
      <c r="AM65" t="str">
        <f ca="1">IF(AA65=1000,"",INDEX(tblCountries!$H$3:$H$57,AA65))</f>
        <v/>
      </c>
    </row>
    <row r="66" spans="1:39">
      <c r="A66">
        <v>49</v>
      </c>
      <c r="B66">
        <f ca="1">tblCountries!H51</f>
        <v>2</v>
      </c>
      <c r="C66">
        <f t="shared" ca="1" si="20"/>
        <v>1</v>
      </c>
      <c r="E66">
        <f t="shared" ca="1" si="26"/>
        <v>1000</v>
      </c>
      <c r="F66">
        <f t="shared" ca="1" si="26"/>
        <v>49</v>
      </c>
      <c r="G66">
        <f t="shared" ca="1" si="26"/>
        <v>1000</v>
      </c>
      <c r="H66">
        <f t="shared" ca="1" si="26"/>
        <v>1000</v>
      </c>
      <c r="I66">
        <f t="shared" ca="1" si="26"/>
        <v>1000</v>
      </c>
      <c r="K66">
        <f ca="1">RANK(E66,E$18:E$72,-1)+COUNTIF(E$18:E66,E66)-1</f>
        <v>49</v>
      </c>
      <c r="L66">
        <f ca="1">RANK(F66,F$18:F$72,-1)+COUNTIF(F$18:F66,F66)-1</f>
        <v>4</v>
      </c>
      <c r="M66">
        <f ca="1">RANK(G66,G$18:G$72,-1)+COUNTIF(G$18:G66,G66)-1</f>
        <v>51</v>
      </c>
      <c r="N66">
        <f ca="1">RANK(H66,H$18:H$72,-1)+COUNTIF(H$18:H66,H66)-1</f>
        <v>50</v>
      </c>
      <c r="O66">
        <f ca="1">RANK(I66,I$18:I$72,-1)+COUNTIF(I$18:I66,I66)-1</f>
        <v>50</v>
      </c>
      <c r="Q66">
        <f t="shared" ca="1" si="7"/>
        <v>49</v>
      </c>
      <c r="R66">
        <f t="shared" ca="1" si="8"/>
        <v>45</v>
      </c>
      <c r="S66">
        <f t="shared" ca="1" si="9"/>
        <v>47</v>
      </c>
      <c r="T66">
        <f t="shared" ca="1" si="10"/>
        <v>48</v>
      </c>
      <c r="U66">
        <f t="shared" ca="1" si="11"/>
        <v>48</v>
      </c>
      <c r="W66">
        <f t="shared" ca="1" si="12"/>
        <v>1000</v>
      </c>
      <c r="X66">
        <f t="shared" ca="1" si="13"/>
        <v>1000</v>
      </c>
      <c r="Y66">
        <f t="shared" ca="1" si="14"/>
        <v>1000</v>
      </c>
      <c r="Z66">
        <f t="shared" ca="1" si="15"/>
        <v>1000</v>
      </c>
      <c r="AA66">
        <f t="shared" ca="1" si="16"/>
        <v>1000</v>
      </c>
      <c r="AC66" t="str">
        <f t="shared" ca="1" si="21"/>
        <v/>
      </c>
      <c r="AD66" t="str">
        <f t="shared" ca="1" si="22"/>
        <v/>
      </c>
      <c r="AE66" t="str">
        <f t="shared" ca="1" si="23"/>
        <v/>
      </c>
      <c r="AF66" t="str">
        <f t="shared" ca="1" si="24"/>
        <v/>
      </c>
      <c r="AG66" t="str">
        <f t="shared" ca="1" si="25"/>
        <v/>
      </c>
      <c r="AI66" t="str">
        <f ca="1">IF(W66=1000,"",INDEX(tblCountries!$H$3:$H$57,W66))</f>
        <v/>
      </c>
      <c r="AJ66" t="str">
        <f ca="1">IF(X66=1000,"",INDEX(tblCountries!$H$3:$H$57,X66))</f>
        <v/>
      </c>
      <c r="AK66" t="str">
        <f ca="1">IF(Y66=1000,"",INDEX(tblCountries!$H$3:$H$57,Y66))</f>
        <v/>
      </c>
      <c r="AL66" t="str">
        <f ca="1">IF(Z66=1000,"",INDEX(tblCountries!$H$3:$H$57,Z66))</f>
        <v/>
      </c>
      <c r="AM66" t="str">
        <f ca="1">IF(AA66=1000,"",INDEX(tblCountries!$H$3:$H$57,AA66))</f>
        <v/>
      </c>
    </row>
    <row r="67" spans="1:39">
      <c r="A67">
        <v>50</v>
      </c>
      <c r="B67">
        <f ca="1">tblCountries!H52</f>
        <v>2</v>
      </c>
      <c r="C67">
        <f t="shared" ca="1" si="20"/>
        <v>2</v>
      </c>
      <c r="E67">
        <f t="shared" ca="1" si="26"/>
        <v>1000</v>
      </c>
      <c r="F67">
        <f t="shared" ca="1" si="26"/>
        <v>1000</v>
      </c>
      <c r="G67">
        <f t="shared" ca="1" si="26"/>
        <v>50</v>
      </c>
      <c r="H67">
        <f t="shared" ca="1" si="26"/>
        <v>1000</v>
      </c>
      <c r="I67">
        <f t="shared" ca="1" si="26"/>
        <v>1000</v>
      </c>
      <c r="K67">
        <f ca="1">RANK(E67,E$18:E$72,-1)+COUNTIF(E$18:E67,E67)-1</f>
        <v>50</v>
      </c>
      <c r="L67">
        <f ca="1">RANK(F67,F$18:F$72,-1)+COUNTIF(F$18:F67,F67)-1</f>
        <v>52</v>
      </c>
      <c r="M67">
        <f ca="1">RANK(G67,G$18:G$72,-1)+COUNTIF(G$18:G67,G67)-1</f>
        <v>25</v>
      </c>
      <c r="N67">
        <f ca="1">RANK(H67,H$18:H$72,-1)+COUNTIF(H$18:H67,H67)-1</f>
        <v>51</v>
      </c>
      <c r="O67">
        <f ca="1">RANK(I67,I$18:I$72,-1)+COUNTIF(I$18:I67,I67)-1</f>
        <v>51</v>
      </c>
      <c r="Q67">
        <f t="shared" ca="1" si="7"/>
        <v>50</v>
      </c>
      <c r="R67">
        <f t="shared" ca="1" si="8"/>
        <v>46</v>
      </c>
      <c r="S67">
        <f t="shared" ca="1" si="9"/>
        <v>48</v>
      </c>
      <c r="T67">
        <f t="shared" ca="1" si="10"/>
        <v>49</v>
      </c>
      <c r="U67">
        <f t="shared" ca="1" si="11"/>
        <v>49</v>
      </c>
      <c r="W67">
        <f t="shared" ca="1" si="12"/>
        <v>1000</v>
      </c>
      <c r="X67">
        <f t="shared" ca="1" si="13"/>
        <v>1000</v>
      </c>
      <c r="Y67">
        <f t="shared" ca="1" si="14"/>
        <v>1000</v>
      </c>
      <c r="Z67">
        <f t="shared" ca="1" si="15"/>
        <v>1000</v>
      </c>
      <c r="AA67">
        <f t="shared" ca="1" si="16"/>
        <v>1000</v>
      </c>
      <c r="AC67" t="str">
        <f t="shared" ca="1" si="21"/>
        <v/>
      </c>
      <c r="AD67" t="str">
        <f t="shared" ca="1" si="22"/>
        <v/>
      </c>
      <c r="AE67" t="str">
        <f t="shared" ca="1" si="23"/>
        <v/>
      </c>
      <c r="AF67" t="str">
        <f t="shared" ca="1" si="24"/>
        <v/>
      </c>
      <c r="AG67" t="str">
        <f t="shared" ca="1" si="25"/>
        <v/>
      </c>
      <c r="AI67" t="str">
        <f ca="1">IF(W67=1000,"",INDEX(tblCountries!$H$3:$H$57,W67))</f>
        <v/>
      </c>
      <c r="AJ67" t="str">
        <f ca="1">IF(X67=1000,"",INDEX(tblCountries!$H$3:$H$57,X67))</f>
        <v/>
      </c>
      <c r="AK67" t="str">
        <f ca="1">IF(Y67=1000,"",INDEX(tblCountries!$H$3:$H$57,Y67))</f>
        <v/>
      </c>
      <c r="AL67" t="str">
        <f ca="1">IF(Z67=1000,"",INDEX(tblCountries!$H$3:$H$57,Z67))</f>
        <v/>
      </c>
      <c r="AM67" t="str">
        <f ca="1">IF(AA67=1000,"",INDEX(tblCountries!$H$3:$H$57,AA67))</f>
        <v/>
      </c>
    </row>
    <row r="68" spans="1:39">
      <c r="A68">
        <v>51</v>
      </c>
      <c r="B68">
        <f ca="1">tblCountries!H53</f>
        <v>2</v>
      </c>
      <c r="C68">
        <f t="shared" ca="1" si="20"/>
        <v>4</v>
      </c>
      <c r="E68">
        <f t="shared" ref="E68:I72" ca="1" si="27">IF($B68=0,1000,IF(AND($C68&gt;=E$16,$C68&lt;F$16),$A68,1000))</f>
        <v>1000</v>
      </c>
      <c r="F68">
        <f t="shared" ca="1" si="27"/>
        <v>1000</v>
      </c>
      <c r="G68">
        <f t="shared" ca="1" si="27"/>
        <v>1000</v>
      </c>
      <c r="H68">
        <f t="shared" ca="1" si="27"/>
        <v>1000</v>
      </c>
      <c r="I68">
        <f t="shared" ca="1" si="27"/>
        <v>51</v>
      </c>
      <c r="K68">
        <f ca="1">RANK(E68,E$18:E$72,-1)+COUNTIF(E$18:E68,E68)-1</f>
        <v>51</v>
      </c>
      <c r="L68">
        <f ca="1">RANK(F68,F$18:F$72,-1)+COUNTIF(F$18:F68,F68)-1</f>
        <v>53</v>
      </c>
      <c r="M68">
        <f ca="1">RANK(G68,G$18:G$72,-1)+COUNTIF(G$18:G68,G68)-1</f>
        <v>52</v>
      </c>
      <c r="N68">
        <f ca="1">RANK(H68,H$18:H$72,-1)+COUNTIF(H$18:H68,H68)-1</f>
        <v>52</v>
      </c>
      <c r="O68">
        <f ca="1">RANK(I68,I$18:I$72,-1)+COUNTIF(I$18:I68,I68)-1</f>
        <v>4</v>
      </c>
      <c r="Q68">
        <f t="shared" ca="1" si="7"/>
        <v>51</v>
      </c>
      <c r="R68">
        <f t="shared" ca="1" si="8"/>
        <v>47</v>
      </c>
      <c r="S68">
        <f t="shared" ca="1" si="9"/>
        <v>49</v>
      </c>
      <c r="T68">
        <f t="shared" ca="1" si="10"/>
        <v>50</v>
      </c>
      <c r="U68">
        <f t="shared" ca="1" si="11"/>
        <v>50</v>
      </c>
      <c r="W68">
        <f t="shared" ca="1" si="12"/>
        <v>1000</v>
      </c>
      <c r="X68">
        <f t="shared" ca="1" si="13"/>
        <v>1000</v>
      </c>
      <c r="Y68">
        <f t="shared" ca="1" si="14"/>
        <v>1000</v>
      </c>
      <c r="Z68">
        <f t="shared" ca="1" si="15"/>
        <v>1000</v>
      </c>
      <c r="AA68">
        <f t="shared" ca="1" si="16"/>
        <v>1000</v>
      </c>
      <c r="AC68" t="str">
        <f t="shared" ca="1" si="21"/>
        <v/>
      </c>
      <c r="AD68" t="str">
        <f t="shared" ca="1" si="22"/>
        <v/>
      </c>
      <c r="AE68" t="str">
        <f t="shared" ca="1" si="23"/>
        <v/>
      </c>
      <c r="AF68" t="str">
        <f t="shared" ca="1" si="24"/>
        <v/>
      </c>
      <c r="AG68" t="str">
        <f t="shared" ca="1" si="25"/>
        <v/>
      </c>
      <c r="AI68" t="str">
        <f ca="1">IF(W68=1000,"",INDEX(tblCountries!$H$3:$H$57,W68))</f>
        <v/>
      </c>
      <c r="AJ68" t="str">
        <f ca="1">IF(X68=1000,"",INDEX(tblCountries!$H$3:$H$57,X68))</f>
        <v/>
      </c>
      <c r="AK68" t="str">
        <f ca="1">IF(Y68=1000,"",INDEX(tblCountries!$H$3:$H$57,Y68))</f>
        <v/>
      </c>
      <c r="AL68" t="str">
        <f ca="1">IF(Z68=1000,"",INDEX(tblCountries!$H$3:$H$57,Z68))</f>
        <v/>
      </c>
      <c r="AM68" t="str">
        <f ca="1">IF(AA68=1000,"",INDEX(tblCountries!$H$3:$H$57,AA68))</f>
        <v/>
      </c>
    </row>
    <row r="69" spans="1:39">
      <c r="A69">
        <v>52</v>
      </c>
      <c r="B69">
        <f ca="1">tblCountries!H54</f>
        <v>2</v>
      </c>
      <c r="C69">
        <f t="shared" ca="1" si="20"/>
        <v>2</v>
      </c>
      <c r="E69">
        <f t="shared" ca="1" si="27"/>
        <v>1000</v>
      </c>
      <c r="F69">
        <f t="shared" ca="1" si="27"/>
        <v>1000</v>
      </c>
      <c r="G69">
        <f t="shared" ca="1" si="27"/>
        <v>52</v>
      </c>
      <c r="H69">
        <f t="shared" ca="1" si="27"/>
        <v>1000</v>
      </c>
      <c r="I69">
        <f t="shared" ca="1" si="27"/>
        <v>1000</v>
      </c>
      <c r="K69">
        <f ca="1">RANK(E69,E$18:E$72,-1)+COUNTIF(E$18:E69,E69)-1</f>
        <v>52</v>
      </c>
      <c r="L69">
        <f ca="1">RANK(F69,F$18:F$72,-1)+COUNTIF(F$18:F69,F69)-1</f>
        <v>54</v>
      </c>
      <c r="M69">
        <f ca="1">RANK(G69,G$18:G$72,-1)+COUNTIF(G$18:G69,G69)-1</f>
        <v>26</v>
      </c>
      <c r="N69">
        <f ca="1">RANK(H69,H$18:H$72,-1)+COUNTIF(H$18:H69,H69)-1</f>
        <v>53</v>
      </c>
      <c r="O69">
        <f ca="1">RANK(I69,I$18:I$72,-1)+COUNTIF(I$18:I69,I69)-1</f>
        <v>52</v>
      </c>
      <c r="Q69">
        <f t="shared" ca="1" si="7"/>
        <v>52</v>
      </c>
      <c r="R69">
        <f t="shared" ca="1" si="8"/>
        <v>50</v>
      </c>
      <c r="S69">
        <f t="shared" ca="1" si="9"/>
        <v>51</v>
      </c>
      <c r="T69">
        <f t="shared" ca="1" si="10"/>
        <v>51</v>
      </c>
      <c r="U69">
        <f t="shared" ca="1" si="11"/>
        <v>52</v>
      </c>
      <c r="W69">
        <f t="shared" ca="1" si="12"/>
        <v>1000</v>
      </c>
      <c r="X69">
        <f t="shared" ca="1" si="13"/>
        <v>1000</v>
      </c>
      <c r="Y69">
        <f t="shared" ca="1" si="14"/>
        <v>1000</v>
      </c>
      <c r="Z69">
        <f t="shared" ca="1" si="15"/>
        <v>1000</v>
      </c>
      <c r="AA69">
        <f t="shared" ca="1" si="16"/>
        <v>1000</v>
      </c>
      <c r="AC69" t="str">
        <f t="shared" ca="1" si="21"/>
        <v/>
      </c>
      <c r="AD69" t="str">
        <f t="shared" ca="1" si="22"/>
        <v/>
      </c>
      <c r="AE69" t="str">
        <f t="shared" ca="1" si="23"/>
        <v/>
      </c>
      <c r="AF69" t="str">
        <f t="shared" ca="1" si="24"/>
        <v/>
      </c>
      <c r="AG69" t="str">
        <f t="shared" ca="1" si="25"/>
        <v/>
      </c>
      <c r="AI69" t="str">
        <f ca="1">IF(W69=1000,"",INDEX(tblCountries!$H$3:$H$57,W69))</f>
        <v/>
      </c>
      <c r="AJ69" t="str">
        <f ca="1">IF(X69=1000,"",INDEX(tblCountries!$H$3:$H$57,X69))</f>
        <v/>
      </c>
      <c r="AK69" t="str">
        <f ca="1">IF(Y69=1000,"",INDEX(tblCountries!$H$3:$H$57,Y69))</f>
        <v/>
      </c>
      <c r="AL69" t="str">
        <f ca="1">IF(Z69=1000,"",INDEX(tblCountries!$H$3:$H$57,Z69))</f>
        <v/>
      </c>
      <c r="AM69" t="str">
        <f ca="1">IF(AA69=1000,"",INDEX(tblCountries!$H$3:$H$57,AA69))</f>
        <v/>
      </c>
    </row>
    <row r="70" spans="1:39">
      <c r="A70">
        <v>53</v>
      </c>
      <c r="B70">
        <f ca="1">tblCountries!H55</f>
        <v>2</v>
      </c>
      <c r="C70">
        <f t="shared" ca="1" si="20"/>
        <v>1</v>
      </c>
      <c r="E70">
        <f t="shared" ca="1" si="27"/>
        <v>1000</v>
      </c>
      <c r="F70">
        <f t="shared" ca="1" si="27"/>
        <v>53</v>
      </c>
      <c r="G70">
        <f t="shared" ca="1" si="27"/>
        <v>1000</v>
      </c>
      <c r="H70">
        <f t="shared" ca="1" si="27"/>
        <v>1000</v>
      </c>
      <c r="I70">
        <f t="shared" ca="1" si="27"/>
        <v>1000</v>
      </c>
      <c r="K70">
        <f ca="1">RANK(E70,E$18:E$72,-1)+COUNTIF(E$18:E70,E70)-1</f>
        <v>53</v>
      </c>
      <c r="L70">
        <f ca="1">RANK(F70,F$18:F$72,-1)+COUNTIF(F$18:F70,F70)-1</f>
        <v>5</v>
      </c>
      <c r="M70">
        <f ca="1">RANK(G70,G$18:G$72,-1)+COUNTIF(G$18:G70,G70)-1</f>
        <v>53</v>
      </c>
      <c r="N70">
        <f ca="1">RANK(H70,H$18:H$72,-1)+COUNTIF(H$18:H70,H70)-1</f>
        <v>54</v>
      </c>
      <c r="O70">
        <f ca="1">RANK(I70,I$18:I$72,-1)+COUNTIF(I$18:I70,I70)-1</f>
        <v>53</v>
      </c>
      <c r="Q70">
        <f t="shared" ca="1" si="7"/>
        <v>53</v>
      </c>
      <c r="R70">
        <f t="shared" ca="1" si="8"/>
        <v>51</v>
      </c>
      <c r="S70">
        <f t="shared" ca="1" si="9"/>
        <v>53</v>
      </c>
      <c r="T70">
        <f t="shared" ca="1" si="10"/>
        <v>52</v>
      </c>
      <c r="U70">
        <f t="shared" ca="1" si="11"/>
        <v>53</v>
      </c>
      <c r="W70">
        <f t="shared" ca="1" si="12"/>
        <v>1000</v>
      </c>
      <c r="X70">
        <f t="shared" ca="1" si="13"/>
        <v>1000</v>
      </c>
      <c r="Y70">
        <f t="shared" ca="1" si="14"/>
        <v>1000</v>
      </c>
      <c r="Z70">
        <f t="shared" ca="1" si="15"/>
        <v>1000</v>
      </c>
      <c r="AA70">
        <f t="shared" ca="1" si="16"/>
        <v>1000</v>
      </c>
      <c r="AC70" t="str">
        <f t="shared" ca="1" si="21"/>
        <v/>
      </c>
      <c r="AD70" t="str">
        <f t="shared" ca="1" si="22"/>
        <v/>
      </c>
      <c r="AE70" t="str">
        <f t="shared" ca="1" si="23"/>
        <v/>
      </c>
      <c r="AF70" t="str">
        <f t="shared" ca="1" si="24"/>
        <v/>
      </c>
      <c r="AG70" t="str">
        <f t="shared" ca="1" si="25"/>
        <v/>
      </c>
      <c r="AI70" t="str">
        <f ca="1">IF(W70=1000,"",INDEX(tblCountries!$H$3:$H$57,W70))</f>
        <v/>
      </c>
      <c r="AJ70" t="str">
        <f ca="1">IF(X70=1000,"",INDEX(tblCountries!$H$3:$H$57,X70))</f>
        <v/>
      </c>
      <c r="AK70" t="str">
        <f ca="1">IF(Y70=1000,"",INDEX(tblCountries!$H$3:$H$57,Y70))</f>
        <v/>
      </c>
      <c r="AL70" t="str">
        <f ca="1">IF(Z70=1000,"",INDEX(tblCountries!$H$3:$H$57,Z70))</f>
        <v/>
      </c>
      <c r="AM70" t="str">
        <f ca="1">IF(AA70=1000,"",INDEX(tblCountries!$H$3:$H$57,AA70))</f>
        <v/>
      </c>
    </row>
    <row r="71" spans="1:39">
      <c r="A71">
        <v>54</v>
      </c>
      <c r="B71">
        <f ca="1">tblCountries!H56</f>
        <v>2</v>
      </c>
      <c r="C71">
        <f t="shared" ca="1" si="20"/>
        <v>1</v>
      </c>
      <c r="E71">
        <f t="shared" ca="1" si="27"/>
        <v>1000</v>
      </c>
      <c r="F71">
        <f t="shared" ca="1" si="27"/>
        <v>54</v>
      </c>
      <c r="G71">
        <f t="shared" ca="1" si="27"/>
        <v>1000</v>
      </c>
      <c r="H71">
        <f t="shared" ca="1" si="27"/>
        <v>1000</v>
      </c>
      <c r="I71">
        <f t="shared" ca="1" si="27"/>
        <v>1000</v>
      </c>
      <c r="K71">
        <f ca="1">RANK(E71,E$18:E$72,-1)+COUNTIF(E$18:E71,E71)-1</f>
        <v>54</v>
      </c>
      <c r="L71">
        <f ca="1">RANK(F71,F$18:F$72,-1)+COUNTIF(F$18:F71,F71)-1</f>
        <v>6</v>
      </c>
      <c r="M71">
        <f ca="1">RANK(G71,G$18:G$72,-1)+COUNTIF(G$18:G71,G71)-1</f>
        <v>54</v>
      </c>
      <c r="N71">
        <f ca="1">RANK(H71,H$18:H$72,-1)+COUNTIF(H$18:H71,H71)-1</f>
        <v>55</v>
      </c>
      <c r="O71">
        <f ca="1">RANK(I71,I$18:I$72,-1)+COUNTIF(I$18:I71,I71)-1</f>
        <v>54</v>
      </c>
      <c r="Q71">
        <f t="shared" ca="1" si="7"/>
        <v>54</v>
      </c>
      <c r="R71">
        <f t="shared" ca="1" si="8"/>
        <v>52</v>
      </c>
      <c r="S71">
        <f t="shared" ca="1" si="9"/>
        <v>54</v>
      </c>
      <c r="T71">
        <f t="shared" ca="1" si="10"/>
        <v>53</v>
      </c>
      <c r="U71">
        <f t="shared" ca="1" si="11"/>
        <v>54</v>
      </c>
      <c r="W71">
        <f t="shared" ca="1" si="12"/>
        <v>1000</v>
      </c>
      <c r="X71">
        <f t="shared" ca="1" si="13"/>
        <v>1000</v>
      </c>
      <c r="Y71">
        <f t="shared" ca="1" si="14"/>
        <v>1000</v>
      </c>
      <c r="Z71">
        <f t="shared" ca="1" si="15"/>
        <v>1000</v>
      </c>
      <c r="AA71">
        <f t="shared" ca="1" si="16"/>
        <v>1000</v>
      </c>
      <c r="AC71" t="str">
        <f t="shared" ca="1" si="21"/>
        <v/>
      </c>
      <c r="AD71" t="str">
        <f t="shared" ca="1" si="22"/>
        <v/>
      </c>
      <c r="AE71" t="str">
        <f t="shared" ca="1" si="23"/>
        <v/>
      </c>
      <c r="AF71" t="str">
        <f t="shared" ca="1" si="24"/>
        <v/>
      </c>
      <c r="AG71" t="str">
        <f t="shared" ca="1" si="25"/>
        <v/>
      </c>
      <c r="AI71" t="str">
        <f ca="1">IF(W71=1000,"",INDEX(tblCountries!$H$3:$H$57,W71))</f>
        <v/>
      </c>
      <c r="AJ71" t="str">
        <f ca="1">IF(X71=1000,"",INDEX(tblCountries!$H$3:$H$57,X71))</f>
        <v/>
      </c>
      <c r="AK71" t="str">
        <f ca="1">IF(Y71=1000,"",INDEX(tblCountries!$H$3:$H$57,Y71))</f>
        <v/>
      </c>
      <c r="AL71" t="str">
        <f ca="1">IF(Z71=1000,"",INDEX(tblCountries!$H$3:$H$57,Z71))</f>
        <v/>
      </c>
      <c r="AM71" t="str">
        <f ca="1">IF(AA71=1000,"",INDEX(tblCountries!$H$3:$H$57,AA71))</f>
        <v/>
      </c>
    </row>
    <row r="72" spans="1:39">
      <c r="A72">
        <v>55</v>
      </c>
      <c r="B72">
        <f ca="1">tblCountries!H57</f>
        <v>2</v>
      </c>
      <c r="C72">
        <f t="shared" ca="1" si="20"/>
        <v>3</v>
      </c>
      <c r="E72">
        <f t="shared" ca="1" si="27"/>
        <v>1000</v>
      </c>
      <c r="F72">
        <f t="shared" ca="1" si="27"/>
        <v>1000</v>
      </c>
      <c r="G72">
        <f t="shared" ca="1" si="27"/>
        <v>1000</v>
      </c>
      <c r="H72">
        <f t="shared" ca="1" si="27"/>
        <v>55</v>
      </c>
      <c r="I72">
        <f t="shared" ca="1" si="27"/>
        <v>1000</v>
      </c>
      <c r="K72">
        <f ca="1">RANK(E72,E$18:E$72,-1)+COUNTIF(E$18:E72,E72)-1</f>
        <v>55</v>
      </c>
      <c r="L72">
        <f ca="1">RANK(F72,F$18:F$72,-1)+COUNTIF(F$18:F72,F72)-1</f>
        <v>55</v>
      </c>
      <c r="M72">
        <f ca="1">RANK(G72,G$18:G$72,-1)+COUNTIF(G$18:G72,G72)-1</f>
        <v>55</v>
      </c>
      <c r="N72">
        <f ca="1">RANK(H72,H$18:H$72,-1)+COUNTIF(H$18:H72,H72)-1</f>
        <v>19</v>
      </c>
      <c r="O72">
        <f ca="1">RANK(I72,I$18:I$72,-1)+COUNTIF(I$18:I72,I72)-1</f>
        <v>55</v>
      </c>
      <c r="Q72">
        <f t="shared" ca="1" si="7"/>
        <v>55</v>
      </c>
      <c r="R72">
        <f t="shared" ca="1" si="8"/>
        <v>55</v>
      </c>
      <c r="S72">
        <f t="shared" ca="1" si="9"/>
        <v>55</v>
      </c>
      <c r="T72">
        <f t="shared" ca="1" si="10"/>
        <v>54</v>
      </c>
      <c r="U72">
        <f t="shared" ca="1" si="11"/>
        <v>55</v>
      </c>
      <c r="W72">
        <f t="shared" ca="1" si="12"/>
        <v>1000</v>
      </c>
      <c r="X72">
        <f t="shared" ca="1" si="13"/>
        <v>1000</v>
      </c>
      <c r="Y72">
        <f t="shared" ca="1" si="14"/>
        <v>1000</v>
      </c>
      <c r="Z72">
        <f t="shared" ca="1" si="15"/>
        <v>1000</v>
      </c>
      <c r="AA72">
        <f t="shared" ca="1" si="16"/>
        <v>1000</v>
      </c>
      <c r="AC72" t="str">
        <f t="shared" ca="1" si="21"/>
        <v/>
      </c>
      <c r="AD72" t="str">
        <f t="shared" ca="1" si="22"/>
        <v/>
      </c>
      <c r="AE72" t="str">
        <f t="shared" ca="1" si="23"/>
        <v/>
      </c>
      <c r="AF72" t="str">
        <f t="shared" ca="1" si="24"/>
        <v/>
      </c>
      <c r="AG72" t="str">
        <f t="shared" ca="1" si="25"/>
        <v/>
      </c>
      <c r="AI72" t="str">
        <f ca="1">IF(W72=1000,"",INDEX(tblCountries!$H$3:$H$57,W72))</f>
        <v/>
      </c>
      <c r="AJ72" t="str">
        <f ca="1">IF(X72=1000,"",INDEX(tblCountries!$H$3:$H$57,X72))</f>
        <v/>
      </c>
      <c r="AK72" t="str">
        <f ca="1">IF(Y72=1000,"",INDEX(tblCountries!$H$3:$H$57,Y72))</f>
        <v/>
      </c>
      <c r="AL72" t="str">
        <f ca="1">IF(Z72=1000,"",INDEX(tblCountries!$H$3:$H$57,Z72))</f>
        <v/>
      </c>
      <c r="AM72" t="str">
        <f ca="1">IF(AA72=1000,"",INDEX(tblCountries!$H$3:$H$57,AA72))</f>
        <v/>
      </c>
    </row>
    <row r="73" spans="1:39">
      <c r="AI73" s="4" t="s">
        <v>1030</v>
      </c>
    </row>
  </sheetData>
  <phoneticPr fontId="10"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sheetPr codeName="Sheet7"/>
  <dimension ref="A1:C23"/>
  <sheetViews>
    <sheetView workbookViewId="0">
      <selection activeCell="E18" sqref="E18"/>
    </sheetView>
  </sheetViews>
  <sheetFormatPr defaultRowHeight="12.75"/>
  <sheetData>
    <row r="1" spans="1:3">
      <c r="A1" s="1" t="s">
        <v>950</v>
      </c>
    </row>
    <row r="2" spans="1:3">
      <c r="A2" t="s">
        <v>906</v>
      </c>
      <c r="B2">
        <f ca="1">MATCH(A2,tblIndicators!C$2:C$20,0)</f>
        <v>1</v>
      </c>
      <c r="C2" t="str">
        <f ca="1">INDEX(tblIndicators!F$2:F$20,tblIndByType!$B2)</f>
        <v>Overall score</v>
      </c>
    </row>
    <row r="3" spans="1:3">
      <c r="A3" t="s">
        <v>890</v>
      </c>
      <c r="B3">
        <f ca="1">MATCH(A3,tblIndicators!C$2:C$20,0)</f>
        <v>2</v>
      </c>
      <c r="C3" t="str">
        <f ca="1">INDEX(tblIndicators!F$2:F$20,tblIndByType!$B3)</f>
        <v xml:space="preserve">Regulatory Framework </v>
      </c>
    </row>
    <row r="4" spans="1:3">
      <c r="A4" t="s">
        <v>895</v>
      </c>
      <c r="B4">
        <f ca="1">MATCH(A4,tblIndicators!C$2:C$20,0)</f>
        <v>7</v>
      </c>
      <c r="C4" t="str">
        <f ca="1">INDEX(tblIndicators!F$2:F$20,tblIndByType!$B4)</f>
        <v>Investment Climate</v>
      </c>
    </row>
    <row r="5" spans="1:3">
      <c r="A5" t="s">
        <v>902</v>
      </c>
      <c r="B5">
        <f ca="1">MATCH(A5,tblIndicators!C$2:C$20,0)</f>
        <v>14</v>
      </c>
      <c r="C5" t="str">
        <f ca="1">INDEX(tblIndicators!F$2:F$20,tblIndByType!$B5)</f>
        <v>Institutional Development</v>
      </c>
    </row>
    <row r="8" spans="1:3">
      <c r="A8" s="1" t="s">
        <v>949</v>
      </c>
      <c r="B8" s="1"/>
    </row>
    <row r="9" spans="1:3">
      <c r="A9" t="s">
        <v>891</v>
      </c>
      <c r="B9">
        <f ca="1">MATCH(A9,tblIndicators!C$2:C$20,0)</f>
        <v>3</v>
      </c>
      <c r="C9" t="str">
        <f ca="1">INDEX(tblIndicators!F$2:F$20,tblIndByType!$B9)</f>
        <v>Regulation of microcredit operations</v>
      </c>
    </row>
    <row r="10" spans="1:3">
      <c r="A10" t="s">
        <v>892</v>
      </c>
      <c r="B10">
        <f ca="1">MATCH(A10,tblIndicators!C$2:C$20,0)</f>
        <v>4</v>
      </c>
      <c r="C10" t="str">
        <f ca="1">INDEX(tblIndicators!F$2:F$20,tblIndByType!$B10)</f>
        <v>Formation and operation of regulated, specialised MFIs</v>
      </c>
    </row>
    <row r="11" spans="1:3">
      <c r="A11" t="s">
        <v>893</v>
      </c>
      <c r="B11">
        <f ca="1">MATCH(A11,tblIndicators!C$2:C$20,0)</f>
        <v>5</v>
      </c>
      <c r="C11" t="str">
        <f ca="1">INDEX(tblIndicators!F$2:F$20,tblIndByType!$B11)</f>
        <v>Formation and operation of non-regulated MFIs</v>
      </c>
    </row>
    <row r="12" spans="1:3">
      <c r="A12" t="s">
        <v>894</v>
      </c>
      <c r="B12">
        <f ca="1">MATCH(A12,tblIndicators!C$2:C$20,0)</f>
        <v>6</v>
      </c>
      <c r="C12" t="str">
        <f ca="1">INDEX(tblIndicators!F$2:F$20,tblIndByType!$B12)</f>
        <v>Regulatory and examination capacity</v>
      </c>
    </row>
    <row r="13" spans="1:3">
      <c r="A13" t="s">
        <v>896</v>
      </c>
      <c r="B13">
        <f ca="1">MATCH(A13,tblIndicators!C$2:C$20,0)</f>
        <v>8</v>
      </c>
      <c r="C13" t="str">
        <f ca="1">INDEX(tblIndicators!F$2:F$20,tblIndByType!$B13)</f>
        <v>Political stability</v>
      </c>
    </row>
    <row r="14" spans="1:3">
      <c r="A14" t="s">
        <v>897</v>
      </c>
      <c r="B14">
        <f ca="1">MATCH(A14,tblIndicators!C$2:C$20,0)</f>
        <v>9</v>
      </c>
      <c r="C14" t="str">
        <f ca="1">INDEX(tblIndicators!F$2:F$20,tblIndByType!$B14)</f>
        <v>Capital market development</v>
      </c>
    </row>
    <row r="15" spans="1:3">
      <c r="A15" t="s">
        <v>898</v>
      </c>
      <c r="B15">
        <f ca="1">MATCH(A15,tblIndicators!C$2:C$20,0)</f>
        <v>10</v>
      </c>
      <c r="C15" t="str">
        <f ca="1">INDEX(tblIndicators!F$2:F$20,tblIndByType!$B15)</f>
        <v>Judicial system</v>
      </c>
    </row>
    <row r="16" spans="1:3">
      <c r="A16" t="s">
        <v>899</v>
      </c>
      <c r="B16">
        <f ca="1">MATCH(A16,tblIndicators!C$2:C$20,0)</f>
        <v>11</v>
      </c>
      <c r="C16" t="str">
        <f ca="1">INDEX(tblIndicators!F$2:F$20,tblIndByType!$B16)</f>
        <v>Accounting standards</v>
      </c>
    </row>
    <row r="17" spans="1:3">
      <c r="A17" t="s">
        <v>900</v>
      </c>
      <c r="B17">
        <f ca="1">MATCH(A17,tblIndicators!C$2:C$20,0)</f>
        <v>12</v>
      </c>
      <c r="C17" t="str">
        <f ca="1">INDEX(tblIndicators!F$2:F$20,tblIndByType!$B17)</f>
        <v>Governance standards</v>
      </c>
    </row>
    <row r="18" spans="1:3">
      <c r="A18" t="s">
        <v>901</v>
      </c>
      <c r="B18">
        <f ca="1">MATCH(A18,tblIndicators!C$2:C$20,0)</f>
        <v>13</v>
      </c>
      <c r="C18" t="str">
        <f ca="1">INDEX(tblIndicators!F$2:F$20,tblIndByType!$B18)</f>
        <v>MFI transparency</v>
      </c>
    </row>
    <row r="19" spans="1:3">
      <c r="A19" t="s">
        <v>903</v>
      </c>
      <c r="B19">
        <f ca="1">MATCH(A19,tblIndicators!C$2:C$20,0)</f>
        <v>15</v>
      </c>
      <c r="C19" t="str">
        <f ca="1">INDEX(tblIndicators!F$2:F$20,tblIndByType!$B19)</f>
        <v>Range of MFI Services</v>
      </c>
    </row>
    <row r="20" spans="1:3">
      <c r="A20" t="s">
        <v>904</v>
      </c>
      <c r="B20">
        <f ca="1">MATCH(A20,tblIndicators!C$2:C$20,0)</f>
        <v>16</v>
      </c>
      <c r="C20" t="str">
        <f ca="1">INDEX(tblIndicators!F$2:F$20,tblIndByType!$B20)</f>
        <v>Credit bureaus</v>
      </c>
    </row>
    <row r="21" spans="1:3">
      <c r="A21" t="s">
        <v>905</v>
      </c>
      <c r="B21">
        <f ca="1">MATCH(A21,tblIndicators!C$2:C$20,0)</f>
        <v>17</v>
      </c>
      <c r="C21" t="str">
        <f ca="1">INDEX(tblIndicators!F$2:F$20,tblIndByType!$B21)</f>
        <v>Level of competition</v>
      </c>
    </row>
    <row r="22" spans="1:3">
      <c r="A22" t="s">
        <v>934</v>
      </c>
      <c r="B22">
        <f ca="1">MATCH(A22,tblIndicators!C$2:C$20,0)</f>
        <v>18</v>
      </c>
      <c r="C22" t="str">
        <f ca="1">INDEX(tblIndicators!F$2:F$20,tblIndByType!$B22)</f>
        <v>MFI clients as % of population</v>
      </c>
    </row>
    <row r="23" spans="1:3">
      <c r="A23" t="s">
        <v>935</v>
      </c>
      <c r="B23">
        <f ca="1">MATCH(A23,tblIndicators!C$2:C$20,0)</f>
        <v>19</v>
      </c>
      <c r="C23" t="str">
        <f ca="1">INDEX(tblIndicators!F$2:F$20,tblIndByType!$B23)</f>
        <v>MFI clients as % of microenterprises</v>
      </c>
    </row>
  </sheetData>
  <phoneticPr fontId="1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sheetPr codeName="Sheet11"/>
  <dimension ref="A1:H24"/>
  <sheetViews>
    <sheetView workbookViewId="0">
      <selection activeCell="D10" sqref="D10"/>
    </sheetView>
  </sheetViews>
  <sheetFormatPr defaultRowHeight="12.75"/>
  <cols>
    <col min="1" max="1" width="21" bestFit="1" customWidth="1"/>
  </cols>
  <sheetData>
    <row r="1" spans="1:8">
      <c r="A1" s="1" t="s">
        <v>1054</v>
      </c>
      <c r="C1" t="s">
        <v>1061</v>
      </c>
      <c r="D1" t="s">
        <v>1062</v>
      </c>
      <c r="E1" t="s">
        <v>1063</v>
      </c>
      <c r="F1" t="s">
        <v>1064</v>
      </c>
      <c r="G1" t="s">
        <v>1065</v>
      </c>
      <c r="H1" t="s">
        <v>1066</v>
      </c>
    </row>
    <row r="2" spans="1:8">
      <c r="A2" t="s">
        <v>1055</v>
      </c>
    </row>
    <row r="3" spans="1:8">
      <c r="A3" s="4" t="s">
        <v>1058</v>
      </c>
    </row>
    <row r="4" spans="1:8">
      <c r="A4" s="4" t="s">
        <v>1059</v>
      </c>
      <c r="C4">
        <v>4</v>
      </c>
      <c r="D4">
        <v>1</v>
      </c>
      <c r="E4">
        <v>2</v>
      </c>
      <c r="F4">
        <v>1</v>
      </c>
      <c r="G4">
        <v>1</v>
      </c>
      <c r="H4">
        <v>1</v>
      </c>
    </row>
    <row r="5" spans="1:8">
      <c r="A5" s="4" t="s">
        <v>1060</v>
      </c>
      <c r="C5">
        <v>2</v>
      </c>
      <c r="D5">
        <v>1</v>
      </c>
      <c r="E5">
        <v>3</v>
      </c>
      <c r="F5">
        <v>1</v>
      </c>
      <c r="G5">
        <v>1</v>
      </c>
      <c r="H5">
        <v>1</v>
      </c>
    </row>
    <row r="6" spans="1:8">
      <c r="A6" t="s">
        <v>1056</v>
      </c>
      <c r="C6">
        <v>4</v>
      </c>
      <c r="D6">
        <v>1</v>
      </c>
      <c r="E6">
        <v>1</v>
      </c>
      <c r="F6">
        <v>1</v>
      </c>
      <c r="G6">
        <v>1</v>
      </c>
      <c r="H6">
        <v>1</v>
      </c>
    </row>
    <row r="7" spans="1:8">
      <c r="A7" t="s">
        <v>1057</v>
      </c>
    </row>
    <row r="10" spans="1:8">
      <c r="C10">
        <v>1</v>
      </c>
      <c r="D10">
        <v>1</v>
      </c>
      <c r="E10">
        <v>1</v>
      </c>
      <c r="F10">
        <v>1</v>
      </c>
      <c r="G10">
        <v>1</v>
      </c>
      <c r="H10">
        <v>1</v>
      </c>
    </row>
    <row r="11" spans="1:8">
      <c r="C11">
        <v>1</v>
      </c>
      <c r="D11">
        <v>1</v>
      </c>
      <c r="E11">
        <v>1</v>
      </c>
      <c r="F11">
        <v>1</v>
      </c>
      <c r="G11">
        <v>1</v>
      </c>
      <c r="H11">
        <v>1</v>
      </c>
    </row>
    <row r="12" spans="1:8">
      <c r="C12">
        <v>1</v>
      </c>
      <c r="D12">
        <v>1</v>
      </c>
      <c r="E12">
        <v>1</v>
      </c>
      <c r="F12">
        <v>1</v>
      </c>
      <c r="G12">
        <v>1</v>
      </c>
      <c r="H12">
        <v>1</v>
      </c>
    </row>
    <row r="13" spans="1:8">
      <c r="C13">
        <v>1</v>
      </c>
      <c r="D13">
        <v>1</v>
      </c>
      <c r="E13">
        <v>1</v>
      </c>
      <c r="F13">
        <v>1</v>
      </c>
      <c r="G13">
        <v>1</v>
      </c>
      <c r="H13">
        <v>1</v>
      </c>
    </row>
    <row r="15" spans="1:8">
      <c r="C15">
        <v>1</v>
      </c>
      <c r="D15">
        <v>1</v>
      </c>
      <c r="E15">
        <v>1</v>
      </c>
      <c r="F15">
        <v>1</v>
      </c>
      <c r="G15">
        <v>1</v>
      </c>
      <c r="H15">
        <v>1</v>
      </c>
    </row>
    <row r="16" spans="1:8">
      <c r="C16">
        <v>1</v>
      </c>
      <c r="D16">
        <v>1</v>
      </c>
      <c r="E16">
        <v>1</v>
      </c>
      <c r="F16">
        <v>1</v>
      </c>
      <c r="G16">
        <v>1</v>
      </c>
      <c r="H16">
        <v>1</v>
      </c>
    </row>
    <row r="17" spans="3:8">
      <c r="C17">
        <v>1</v>
      </c>
      <c r="D17">
        <v>1</v>
      </c>
      <c r="E17">
        <v>1</v>
      </c>
      <c r="F17">
        <v>1</v>
      </c>
      <c r="G17">
        <v>1</v>
      </c>
      <c r="H17">
        <v>1</v>
      </c>
    </row>
    <row r="18" spans="3:8">
      <c r="C18">
        <v>1</v>
      </c>
      <c r="D18">
        <v>1</v>
      </c>
      <c r="E18">
        <v>1</v>
      </c>
      <c r="F18">
        <v>1</v>
      </c>
      <c r="G18">
        <v>1</v>
      </c>
      <c r="H18">
        <v>1</v>
      </c>
    </row>
    <row r="19" spans="3:8">
      <c r="C19">
        <v>1</v>
      </c>
      <c r="D19">
        <v>1</v>
      </c>
      <c r="E19">
        <v>1</v>
      </c>
      <c r="F19">
        <v>1</v>
      </c>
      <c r="G19">
        <v>1</v>
      </c>
      <c r="H19">
        <v>1</v>
      </c>
    </row>
    <row r="20" spans="3:8">
      <c r="C20">
        <v>1</v>
      </c>
      <c r="D20">
        <v>1</v>
      </c>
      <c r="E20">
        <v>1</v>
      </c>
      <c r="F20">
        <v>1</v>
      </c>
      <c r="G20">
        <v>1</v>
      </c>
      <c r="H20">
        <v>1</v>
      </c>
    </row>
    <row r="22" spans="3:8">
      <c r="C22">
        <v>1</v>
      </c>
      <c r="D22">
        <v>1</v>
      </c>
      <c r="E22">
        <v>1</v>
      </c>
      <c r="F22">
        <v>1</v>
      </c>
      <c r="G22">
        <v>1</v>
      </c>
      <c r="H22">
        <v>1</v>
      </c>
    </row>
    <row r="23" spans="3:8">
      <c r="C23">
        <v>1</v>
      </c>
      <c r="D23">
        <v>1</v>
      </c>
      <c r="E23">
        <v>1</v>
      </c>
      <c r="F23">
        <v>1</v>
      </c>
      <c r="G23">
        <v>1</v>
      </c>
      <c r="H23">
        <v>1</v>
      </c>
    </row>
    <row r="24" spans="3:8">
      <c r="C24">
        <v>1</v>
      </c>
      <c r="D24">
        <v>1</v>
      </c>
      <c r="E24">
        <v>1</v>
      </c>
      <c r="F24">
        <v>1</v>
      </c>
      <c r="G24">
        <v>1</v>
      </c>
      <c r="H24">
        <v>1</v>
      </c>
    </row>
  </sheetData>
  <phoneticPr fontId="1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sheetPr codeName="Sheet17"/>
  <dimension ref="A1:G26"/>
  <sheetViews>
    <sheetView showGridLines="0" showRowColHeaders="0" zoomScale="65" workbookViewId="0">
      <pane ySplit="1" topLeftCell="A2" activePane="bottomLeft" state="frozen"/>
      <selection pane="bottomLeft" activeCell="H8" sqref="H8"/>
    </sheetView>
  </sheetViews>
  <sheetFormatPr defaultRowHeight="12.75"/>
  <cols>
    <col min="1" max="1" width="4.28515625" customWidth="1"/>
    <col min="2" max="2" width="56.5703125" bestFit="1" customWidth="1"/>
    <col min="3" max="3" width="6.5703125" customWidth="1"/>
    <col min="4" max="4" width="2.5703125" customWidth="1"/>
    <col min="5" max="5" width="69.5703125" customWidth="1"/>
    <col min="7" max="7" width="0" hidden="1" customWidth="1"/>
  </cols>
  <sheetData>
    <row r="1" spans="1:7" ht="21">
      <c r="A1" s="123" t="s">
        <v>1128</v>
      </c>
      <c r="B1" s="123"/>
      <c r="C1" s="123"/>
      <c r="D1" s="123"/>
      <c r="E1" s="123"/>
    </row>
    <row r="3" spans="1:7" ht="126.75" customHeight="1"/>
    <row r="4" spans="1:7" ht="7.5" customHeight="1"/>
    <row r="5" spans="1:7">
      <c r="C5" s="100" t="s">
        <v>1131</v>
      </c>
    </row>
    <row r="6" spans="1:7">
      <c r="B6" s="148" t="s">
        <v>1129</v>
      </c>
      <c r="C6" s="149"/>
      <c r="D6" s="149"/>
      <c r="E6" s="150"/>
    </row>
    <row r="7" spans="1:7" ht="193.5" customHeight="1">
      <c r="B7" s="144" t="str">
        <f ca="1">i_country!E13</f>
        <v>Regulation of microcredit operations</v>
      </c>
      <c r="C7" s="145">
        <f ca="1">i_country!F13</f>
        <v>2</v>
      </c>
      <c r="D7" s="146"/>
      <c r="E7" s="147" t="str">
        <f ca="1">i_country!K13</f>
        <v>The banking industry is still in its infancy following the country’s emergence from civil war in the late 1990s. The legal justification for the regulation of the banking industry is Banking Act (No. 003-2002) and for microfinance institutions (MFIs) specifically there is a directive entitled Instruction No. 001, December 2005, which classifies MFIs into three categories of varying development: Category 1: MF enterprises, credit services only; Category 2: MF enterprises, credit and savings services, for-profit; Category 3: MF corporations, must be for-profit, limited liability companies. The regulator of the finance industry is the Banque Centrale du Congo (BCC, the Central Bank), as outlined by the Banking Act 2002. At present, there are no interest rate caps, reporting is burdensome, but not prohibitive, and the minimum capital requirements are tiered for different institutions and are low: US$15,000 for Category 1 and up to US$100,000 for Category 3 MFIs. However, registration and licensing of commercial banks, including those offering microfinance products, requires the approval of the president, Joseph Kabila, and can take up to 18 months. The majority of funding for the banking sector comes from abroad, as the DRC's public sector does not have the resources to promote microfinance and many donor organisations (USAID, DfID, CIDA, GTZ, and others) are willing to do so. However, most of these are grants for technical assistance, and not working capital per se. (CGAP diagnostic report 2007; personal interview: June 2009.)</v>
      </c>
      <c r="G7">
        <v>0</v>
      </c>
    </row>
    <row r="8" spans="1:7" ht="76.5">
      <c r="B8" s="144" t="str">
        <f ca="1">i_country!E14</f>
        <v>Formation and operation of regulated, specialised MFIs</v>
      </c>
      <c r="C8" s="145">
        <f ca="1">i_country!F14</f>
        <v>3</v>
      </c>
      <c r="D8" s="151"/>
      <c r="E8" s="147" t="str">
        <f ca="1">i_country!K14</f>
        <v>A number of greenfield MFIs have been incorporated in the past two years, mostly funded by multilateral donors. FINCA is currently transforming from a non-governmental organisation (NGO) to a deposit-taking non-bank financial institution (NBFI). Registration for new institutions is a big issue; for example, it took over nine months to get approval for the newly formed bank, Advans DRC (with significant help from the IFC). (CGAP diagnostic report 2007; personal interview: June 2009.)</v>
      </c>
      <c r="G8">
        <v>1</v>
      </c>
    </row>
    <row r="9" spans="1:7" ht="63.75">
      <c r="B9" s="144" t="str">
        <f ca="1">i_country!E15</f>
        <v>Formation and operation of non-regulated MFIs</v>
      </c>
      <c r="C9" s="145">
        <f ca="1">i_country!F15</f>
        <v>3</v>
      </c>
      <c r="D9" s="151"/>
      <c r="E9" s="147" t="str">
        <f ca="1">i_country!K15</f>
        <v>NGOs are permitted to provide clients with loans and other microcredit services; however, they cannot mobilise savings. Four of the 16 institutions listed on the MIX market are registered as NGOs. Savings and credit co-operatives (Coopecs) are governed by Law 002-2002, with no minimum capital required. (CGAP diagnostic report 2007; personal interview: June 2009.)</v>
      </c>
      <c r="G9">
        <v>2</v>
      </c>
    </row>
    <row r="10" spans="1:7" ht="63.75">
      <c r="B10" s="144" t="str">
        <f ca="1">i_country!E16</f>
        <v>Regulatory and examination capacity</v>
      </c>
      <c r="C10" s="145">
        <f ca="1">i_country!F16</f>
        <v>2</v>
      </c>
      <c r="D10" s="151"/>
      <c r="E10" s="196" t="str">
        <f ca="1">i_country!K16</f>
        <v>Regulations call for annual on-site visits by the BCC. However, supervisory capacity is severely lacking. The low number of MFIs (currently 16 institutions) allows banks to conduct on-site; however, these are limited to Kinshasa and the BCC cannot supervise institutions outside of the capital.(CGAP diagnostic report 2007; personal interview: June 2009.)</v>
      </c>
      <c r="G10">
        <v>3</v>
      </c>
    </row>
    <row r="11" spans="1:7" ht="15.75">
      <c r="B11" s="108"/>
      <c r="C11" s="110"/>
      <c r="D11" s="91"/>
      <c r="E11" s="109"/>
    </row>
    <row r="12" spans="1:7" ht="15.75">
      <c r="B12" s="152" t="s">
        <v>912</v>
      </c>
      <c r="C12" s="153"/>
      <c r="D12" s="154"/>
      <c r="E12" s="155"/>
    </row>
    <row r="13" spans="1:7" ht="153">
      <c r="B13" s="144" t="str">
        <f ca="1">i_country!E17</f>
        <v>Political stability</v>
      </c>
      <c r="C13" s="145">
        <f ca="1">i_country!F17</f>
        <v>1.2</v>
      </c>
      <c r="D13" s="151"/>
      <c r="E13" s="147" t="str">
        <f ca="1">i_country!K17</f>
        <v>Mr Kabila is expected to remain in power in the short term, and political-ethnic conflict is likely to continue in the east of the country. The government's economic policy priority is to respond appropriately to the world economic downturn, which has had a deep impact on the national economy. In the east, bloody attacks by the Forces Democratiques de Liberation du Rwanda (FDLR) on civilians will continue and more people will be displaced, despite the arrival of long-awaited Mission de l'Organisation des Nations Unies en RD Congo (MONUC, UN Mission in DRC) reinforcements later this year. The restoration of diplomatic relations with Rwanda will be widely welcomed internationally. However relations with another neighbour, Angola, have worsened. The two governments are arguing over their maritime borders and the offshore oil blocks under them. (Economist Intelligence Unit, Country Report, June 2009.)</v>
      </c>
      <c r="G13">
        <v>4</v>
      </c>
    </row>
    <row r="14" spans="1:7" ht="178.5">
      <c r="B14" s="144" t="str">
        <f ca="1">i_country!E18</f>
        <v>Capital market development</v>
      </c>
      <c r="C14" s="145">
        <f ca="1">i_country!F18</f>
        <v>1</v>
      </c>
      <c r="D14" s="151"/>
      <c r="E14" s="147" t="str">
        <f ca="1">i_country!K18</f>
        <v>The financial sector is recovering after years of difficult, and at times impossible, operating conditions, which have seen banking intermediation in commercial transactions drop to an estimated 3% of the total. There are 16 functioning commercial banks. The biggest are subsidiaries and associates of Western banks, although Rawbank, which is Congolese, is growing in importance. Commercial credit provision is low, so banks contribute little to money-creation, and most money growth comes instead from the financing of the government's fiscal deficits by the BCC. Most businesses finance their operations from their own revenue or from the informal financial sector. Commercial banks have maintained profitable operations by providing financial services to international institutions operating in the country and through expensive transaction fees, although increasing competition has driven fees down sharply since 2004. The expected donor aid will provide support for the Congolese franc, but the currency remains highly vulnerable to depreciation. Weaker export earnings owing to lower copper prices and reduced mining output, plus the prospect of continued fiscal deficits above the level of the emergency assistance, are the main risks. Another factor will be the performance of the US dollar, which we forecast will strengthen against the euro during 2009, before weakening slightly in 2010. (Economist Intelligence Unit Country Profile, September 2008; Economist Intelligence Unit Country Report, June 2009.)</v>
      </c>
      <c r="G14">
        <v>5</v>
      </c>
    </row>
    <row r="15" spans="1:7" ht="127.5">
      <c r="B15" s="144" t="str">
        <f ca="1">i_country!E19</f>
        <v>Judicial system</v>
      </c>
      <c r="C15" s="145">
        <f ca="1">i_country!F19</f>
        <v>0</v>
      </c>
      <c r="D15" s="151"/>
      <c r="E15" s="147" t="str">
        <f ca="1">i_country!K19</f>
        <v>The judiciary has for decades been underpaid, undertrained and intimidated by the executive, and there is a nationwide shortage of court rooms and magistrates. Despite this, there are many good legal minds in the country, and the quality of legal opinion offered is often high. Yet cases typically move at a torturously slow pace, and are too frequently decided not on merit, but on the size of the bribe on offer, to the detriment of the credibility of the legal system. According to the World Bank Doing Business project, the DRC lags the regional average in enforcing contracts in terms of number of procedures and cost; however. the process is more expedient. (Economist Intelligence Unit Country Profile, September 2008; World Bank Doing Business 2009.)</v>
      </c>
      <c r="G15">
        <v>6</v>
      </c>
    </row>
    <row r="16" spans="1:7" ht="51">
      <c r="B16" s="144" t="str">
        <f ca="1">i_country!E20</f>
        <v>Accounting standards</v>
      </c>
      <c r="C16" s="145">
        <f ca="1">i_country!F20</f>
        <v>1</v>
      </c>
      <c r="D16" s="151"/>
      <c r="E16" s="147" t="str">
        <f ca="1">i_country!K20</f>
        <v>The DRC has a de facto two-tiered system for accounting standards; MFIs funded by international donors are required to follow IFRS. However, NGOs and other domestic institutions are not subject to these requirements. Accounting standards in general are very poor. (personal interview: June 2009.)</v>
      </c>
      <c r="G16">
        <v>7</v>
      </c>
    </row>
    <row r="17" spans="2:7" ht="89.25">
      <c r="B17" s="144" t="str">
        <f ca="1">i_country!E21</f>
        <v>Governance standards</v>
      </c>
      <c r="C17" s="145">
        <f ca="1">i_country!F21</f>
        <v>1</v>
      </c>
      <c r="D17" s="151"/>
      <c r="E17" s="147" t="str">
        <f ca="1">i_country!K21</f>
        <v>There is a distinction between foreign-funded banks and local entities. IFC-funded MFIs (Advans, ProCredit) and other multilateral clients follow best practice in terms of corporate governance. The DRC does not have guidelines for good corporate governance on the bookkeeping and accountability; independence and transparency for governing bodies is very weak. The World Bank gives the country a score of 3.3 out of a possible 10 for the Investor Protection Index. (World Bank Doing Business 2009; personal interview: June 2009.)</v>
      </c>
      <c r="G17">
        <v>8</v>
      </c>
    </row>
    <row r="18" spans="2:7" ht="127.5">
      <c r="B18" s="144" t="str">
        <f ca="1">i_country!E22</f>
        <v>MFI transparency</v>
      </c>
      <c r="C18" s="145">
        <f ca="1">i_country!F22</f>
        <v>2</v>
      </c>
      <c r="D18" s="151"/>
      <c r="E18" s="147" t="str">
        <f ca="1">i_country!K22</f>
        <v>For banks and MFIs supported by Multilaterals (Procredit, Finca, etc), conforming to international norms and transparency is not an issue, and these organisations commonly have a transparent policy regarding disclosure of interest rates to clients. However, for local organisations, transparency remains a large problem, and it is uncertain whether outside the capital MFIs regularly disclose the effective costs of borrowing to their clients. The Congolese Bankers Association provides guidelines, and four of the five largest MFIs provided audited financial statements for fiscal year 2007-08 (January-December) on MIX market. However, none of the institutions listed on MIX Market for 2008 had undergone external ratings. (Personal interview June 2009; MIX market.)</v>
      </c>
      <c r="G18">
        <v>9</v>
      </c>
    </row>
    <row r="19" spans="2:7" ht="15.75">
      <c r="B19" s="108"/>
      <c r="C19" s="110"/>
      <c r="D19" s="91"/>
      <c r="E19" s="109"/>
    </row>
    <row r="20" spans="2:7" ht="15.75">
      <c r="B20" s="152" t="s">
        <v>1130</v>
      </c>
      <c r="C20" s="153"/>
      <c r="D20" s="154"/>
      <c r="E20" s="155"/>
    </row>
    <row r="21" spans="2:7" ht="93.75" customHeight="1">
      <c r="B21" s="144" t="str">
        <f ca="1">i_country!E23</f>
        <v>Range of MFI Services</v>
      </c>
      <c r="C21" s="145">
        <f ca="1">i_country!F23</f>
        <v>2</v>
      </c>
      <c r="D21" s="151"/>
      <c r="E21" s="147" t="str">
        <f ca="1">i_country!K23</f>
        <v>Most MFIs focus on savings and loans. The larger banks plan to enter into mobile/SMS banking and debit cards (ProCredit, Finca, Advans); however, this is predicated on favourable regulations for mobile banking. The insurance market is highly regulated and banks have not ventured into this arena. (Personal interview: June 2009; MIX market.)</v>
      </c>
      <c r="G21">
        <v>10</v>
      </c>
    </row>
    <row r="22" spans="2:7" ht="51">
      <c r="B22" s="144" t="str">
        <f ca="1">i_country!E24</f>
        <v>Credit bureaus</v>
      </c>
      <c r="C22" s="145">
        <f ca="1">i_country!F24</f>
        <v>0</v>
      </c>
      <c r="D22" s="151"/>
      <c r="E22" s="147" t="str">
        <f ca="1">i_country!K24</f>
        <v>Currently, there are no functioning credit bureaus, and the country has received a score of 0 in the “Getting Credit” for the credit information index for World Bank Doing Business 2009. Additionally, the legal system is very weak and prone to significant corruption. (World Bank, Doing Business, 2009.)</v>
      </c>
      <c r="G22">
        <v>11</v>
      </c>
    </row>
    <row r="23" spans="2:7" ht="98.25" customHeight="1">
      <c r="B23" s="144" t="str">
        <f ca="1">i_country!E25</f>
        <v>Level of competition</v>
      </c>
      <c r="C23" s="145">
        <f ca="1">i_country!F25</f>
        <v>0</v>
      </c>
      <c r="D23" s="151"/>
      <c r="E23" s="147" t="str">
        <f ca="1">i_country!K25</f>
        <v>Currently, there is a very low level of market competition, even in Kinshasa (8-9m inhabitants). Only Procredit and Finca (Kinshasa-based) are the significant MFI players, and COOPEC Nyawera (Eastern-based) had a portfolio of size comparable to that of FINCA (at around 20% of market share in 2007). Market data from MIX in 2007 show that the DRC has an HHI score of around 3,000. (MIX Market 2007; personal interviews: June2009.)</v>
      </c>
      <c r="G23">
        <v>12</v>
      </c>
    </row>
    <row r="24" spans="2:7" ht="15.75">
      <c r="B24" s="108"/>
      <c r="C24" s="110"/>
      <c r="D24" s="91"/>
      <c r="E24" s="109"/>
    </row>
    <row r="25" spans="2:7" hidden="1">
      <c r="B25" s="144" t="str">
        <f ca="1">i_country!E26</f>
        <v>MFI clients as % of population</v>
      </c>
      <c r="C25" s="192">
        <f ca="1">i_country!F26</f>
        <v>9.939743589743591E-2</v>
      </c>
      <c r="D25" s="151"/>
      <c r="E25" s="147" t="str">
        <f ca="1">i_country!K26</f>
        <v/>
      </c>
    </row>
    <row r="26" spans="2:7" hidden="1">
      <c r="B26" s="144" t="str">
        <f ca="1">i_country!E27</f>
        <v>MFI clients as % of microenterprises</v>
      </c>
      <c r="C26" s="193" t="str">
        <f ca="1">i_country!F27</f>
        <v>n/a</v>
      </c>
      <c r="D26" s="151"/>
      <c r="E26" s="147" t="str">
        <f ca="1">i_country!K27</f>
        <v/>
      </c>
    </row>
  </sheetData>
  <sheetProtection password="B7E9" sheet="1" objects="1" scenarios="1"/>
  <phoneticPr fontId="10" type="noConversion"/>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sheetPr codeName="Sheet9"/>
  <dimension ref="A1:BT52"/>
  <sheetViews>
    <sheetView topLeftCell="M10" zoomScale="75" workbookViewId="0">
      <selection activeCell="AB53" sqref="AB53"/>
    </sheetView>
  </sheetViews>
  <sheetFormatPr defaultRowHeight="12.75"/>
  <cols>
    <col min="1" max="1" width="3" bestFit="1" customWidth="1"/>
    <col min="2" max="2" width="2" bestFit="1" customWidth="1"/>
    <col min="4" max="4" width="5.140625" customWidth="1"/>
    <col min="5" max="7" width="5" customWidth="1"/>
    <col min="8" max="8" width="62.42578125" bestFit="1" customWidth="1"/>
    <col min="64" max="72" width="9.140625" style="18"/>
  </cols>
  <sheetData>
    <row r="1" spans="1:72">
      <c r="E1" s="6"/>
      <c r="F1" s="6"/>
      <c r="G1" s="6"/>
      <c r="I1">
        <v>1</v>
      </c>
      <c r="J1">
        <v>2</v>
      </c>
      <c r="K1">
        <v>3</v>
      </c>
      <c r="L1">
        <v>4</v>
      </c>
      <c r="M1">
        <v>5</v>
      </c>
      <c r="N1">
        <v>6</v>
      </c>
      <c r="O1">
        <v>7</v>
      </c>
      <c r="P1">
        <v>8</v>
      </c>
      <c r="Q1">
        <v>9</v>
      </c>
      <c r="R1">
        <v>10</v>
      </c>
      <c r="S1">
        <v>11</v>
      </c>
      <c r="T1">
        <v>12</v>
      </c>
      <c r="U1">
        <v>13</v>
      </c>
      <c r="V1">
        <v>14</v>
      </c>
      <c r="W1">
        <v>15</v>
      </c>
      <c r="X1">
        <v>16</v>
      </c>
      <c r="Y1">
        <v>17</v>
      </c>
      <c r="Z1">
        <v>18</v>
      </c>
      <c r="AA1">
        <v>19</v>
      </c>
      <c r="AB1">
        <v>20</v>
      </c>
      <c r="AC1">
        <v>21</v>
      </c>
      <c r="AD1">
        <v>22</v>
      </c>
      <c r="AE1">
        <v>23</v>
      </c>
      <c r="AF1">
        <v>24</v>
      </c>
      <c r="AG1">
        <v>25</v>
      </c>
      <c r="AH1">
        <v>26</v>
      </c>
      <c r="AI1">
        <v>27</v>
      </c>
      <c r="AJ1">
        <v>28</v>
      </c>
      <c r="AK1">
        <v>29</v>
      </c>
      <c r="AL1">
        <v>30</v>
      </c>
      <c r="AM1">
        <v>31</v>
      </c>
      <c r="AN1">
        <v>32</v>
      </c>
      <c r="AO1">
        <v>33</v>
      </c>
      <c r="AP1">
        <v>34</v>
      </c>
      <c r="AQ1">
        <v>35</v>
      </c>
      <c r="AR1">
        <v>36</v>
      </c>
      <c r="AS1">
        <v>37</v>
      </c>
      <c r="AT1">
        <v>38</v>
      </c>
      <c r="AU1">
        <v>39</v>
      </c>
      <c r="AV1">
        <v>40</v>
      </c>
      <c r="AW1">
        <v>41</v>
      </c>
      <c r="AX1">
        <v>42</v>
      </c>
      <c r="AY1">
        <v>43</v>
      </c>
      <c r="AZ1">
        <v>44</v>
      </c>
      <c r="BA1">
        <v>45</v>
      </c>
      <c r="BB1">
        <v>46</v>
      </c>
      <c r="BC1">
        <v>47</v>
      </c>
      <c r="BD1">
        <v>48</v>
      </c>
      <c r="BE1">
        <v>49</v>
      </c>
      <c r="BF1">
        <v>50</v>
      </c>
      <c r="BG1">
        <v>51</v>
      </c>
      <c r="BH1">
        <v>52</v>
      </c>
      <c r="BI1">
        <v>53</v>
      </c>
      <c r="BJ1">
        <v>54</v>
      </c>
      <c r="BK1">
        <v>55</v>
      </c>
      <c r="BL1" s="18">
        <v>56</v>
      </c>
      <c r="BM1" s="18">
        <v>57</v>
      </c>
      <c r="BN1" s="18">
        <v>58</v>
      </c>
      <c r="BO1" s="18">
        <v>59</v>
      </c>
      <c r="BP1" s="18">
        <v>60</v>
      </c>
      <c r="BQ1" s="18">
        <v>61</v>
      </c>
      <c r="BR1" s="18">
        <v>62</v>
      </c>
      <c r="BS1" s="18">
        <v>63</v>
      </c>
      <c r="BT1" s="18">
        <v>64</v>
      </c>
    </row>
    <row r="2" spans="1:72">
      <c r="I2" t="str">
        <f t="shared" ref="I2:AN2" ca="1" si="0">INDEX(lu_countries_and_regions,I1,0)</f>
        <v>Argentina</v>
      </c>
      <c r="J2" t="str">
        <f t="shared" ca="1" si="0"/>
        <v>Armenia</v>
      </c>
      <c r="K2" t="str">
        <f t="shared" ca="1" si="0"/>
        <v>Azerbaijan</v>
      </c>
      <c r="L2" t="str">
        <f t="shared" ca="1" si="0"/>
        <v>Bangladesh</v>
      </c>
      <c r="M2" t="str">
        <f t="shared" ca="1" si="0"/>
        <v>Bolivia</v>
      </c>
      <c r="N2" t="str">
        <f t="shared" ca="1" si="0"/>
        <v>Bosnia</v>
      </c>
      <c r="O2" t="str">
        <f t="shared" ca="1" si="0"/>
        <v>Brazil</v>
      </c>
      <c r="P2" t="str">
        <f t="shared" ca="1" si="0"/>
        <v>Cambodia</v>
      </c>
      <c r="Q2" t="str">
        <f t="shared" ca="1" si="0"/>
        <v>Cameroon</v>
      </c>
      <c r="R2" t="str">
        <f t="shared" ca="1" si="0"/>
        <v>Chile</v>
      </c>
      <c r="S2" t="str">
        <f t="shared" ca="1" si="0"/>
        <v>China</v>
      </c>
      <c r="T2" t="str">
        <f t="shared" ca="1" si="0"/>
        <v>Colombia</v>
      </c>
      <c r="U2" t="str">
        <f t="shared" ca="1" si="0"/>
        <v>Costa Rica</v>
      </c>
      <c r="V2" t="str">
        <f t="shared" ca="1" si="0"/>
        <v>Dominican Republic</v>
      </c>
      <c r="W2" t="str">
        <f t="shared" ca="1" si="0"/>
        <v>DRC</v>
      </c>
      <c r="X2" s="5" t="str">
        <f t="shared" ca="1" si="0"/>
        <v>Ecuador</v>
      </c>
      <c r="Y2" t="str">
        <f t="shared" ca="1" si="0"/>
        <v>El Salvador</v>
      </c>
      <c r="Z2" t="str">
        <f t="shared" ca="1" si="0"/>
        <v>Ethiopia</v>
      </c>
      <c r="AA2" t="str">
        <f t="shared" ca="1" si="0"/>
        <v>Georgia</v>
      </c>
      <c r="AB2" t="str">
        <f t="shared" ca="1" si="0"/>
        <v>Ghana</v>
      </c>
      <c r="AC2" t="str">
        <f t="shared" ca="1" si="0"/>
        <v>Guatemala</v>
      </c>
      <c r="AD2" t="str">
        <f t="shared" ca="1" si="0"/>
        <v>Haiti</v>
      </c>
      <c r="AE2" s="5" t="str">
        <f t="shared" ca="1" si="0"/>
        <v>Honduras</v>
      </c>
      <c r="AF2" t="str">
        <f t="shared" ca="1" si="0"/>
        <v>India</v>
      </c>
      <c r="AG2" t="str">
        <f t="shared" ca="1" si="0"/>
        <v>Indonesia</v>
      </c>
      <c r="AH2" t="str">
        <f t="shared" ca="1" si="0"/>
        <v>Jamaica</v>
      </c>
      <c r="AI2" t="str">
        <f t="shared" ca="1" si="0"/>
        <v>Kenya</v>
      </c>
      <c r="AJ2" s="5" t="str">
        <f t="shared" ca="1" si="0"/>
        <v>Kyrgyzstan</v>
      </c>
      <c r="AK2" t="str">
        <f t="shared" ca="1" si="0"/>
        <v>Lebanon</v>
      </c>
      <c r="AL2" s="5" t="str">
        <f t="shared" ca="1" si="0"/>
        <v>Madagascar</v>
      </c>
      <c r="AM2" t="str">
        <f t="shared" ca="1" si="0"/>
        <v>Mexico</v>
      </c>
      <c r="AN2" t="str">
        <f t="shared" ca="1" si="0"/>
        <v>Mongolia</v>
      </c>
      <c r="AO2" t="str">
        <f t="shared" ref="AO2:BT2" ca="1" si="1">INDEX(lu_countries_and_regions,AO1,0)</f>
        <v>Morocco</v>
      </c>
      <c r="AP2" t="str">
        <f t="shared" ca="1" si="1"/>
        <v>Mozambique</v>
      </c>
      <c r="AQ2" t="str">
        <f t="shared" ca="1" si="1"/>
        <v>Nepal</v>
      </c>
      <c r="AR2" s="5" t="str">
        <f t="shared" ca="1" si="1"/>
        <v>Nicaragua</v>
      </c>
      <c r="AS2" t="str">
        <f t="shared" ca="1" si="1"/>
        <v>Nigeria</v>
      </c>
      <c r="AT2" t="str">
        <f t="shared" ca="1" si="1"/>
        <v>Pakistan</v>
      </c>
      <c r="AU2" t="str">
        <f t="shared" ca="1" si="1"/>
        <v>Panama</v>
      </c>
      <c r="AV2" s="5" t="str">
        <f t="shared" ca="1" si="1"/>
        <v>Paraguay</v>
      </c>
      <c r="AW2" t="str">
        <f t="shared" ca="1" si="1"/>
        <v>Peru</v>
      </c>
      <c r="AX2" t="str">
        <f t="shared" ca="1" si="1"/>
        <v>Philippines</v>
      </c>
      <c r="AY2" s="5" t="str">
        <f t="shared" ca="1" si="1"/>
        <v>Rwanda</v>
      </c>
      <c r="AZ2" t="str">
        <f t="shared" ca="1" si="1"/>
        <v>Senegal</v>
      </c>
      <c r="BA2" t="str">
        <f t="shared" ca="1" si="1"/>
        <v>Sri Lanka</v>
      </c>
      <c r="BB2" t="str">
        <f t="shared" ca="1" si="1"/>
        <v>Tajikistan</v>
      </c>
      <c r="BC2" s="6" t="str">
        <f t="shared" ca="1" si="1"/>
        <v>Tanzania</v>
      </c>
      <c r="BD2" t="str">
        <f t="shared" ca="1" si="1"/>
        <v>Thailand</v>
      </c>
      <c r="BE2" t="str">
        <f t="shared" ca="1" si="1"/>
        <v>Trinidad and Tobago</v>
      </c>
      <c r="BF2" t="str">
        <f t="shared" ca="1" si="1"/>
        <v>Turkey</v>
      </c>
      <c r="BG2" t="str">
        <f t="shared" ca="1" si="1"/>
        <v>Uganda</v>
      </c>
      <c r="BH2" t="str">
        <f t="shared" ca="1" si="1"/>
        <v>Uruguay</v>
      </c>
      <c r="BI2" t="str">
        <f t="shared" ca="1" si="1"/>
        <v>Venezuela</v>
      </c>
      <c r="BJ2" t="str">
        <f t="shared" ca="1" si="1"/>
        <v>Vietnam</v>
      </c>
      <c r="BK2" t="str">
        <f t="shared" ca="1" si="1"/>
        <v>Yemen</v>
      </c>
      <c r="BL2" s="18" t="str">
        <f t="shared" ca="1" si="1"/>
        <v>ALL COUNTRIES</v>
      </c>
      <c r="BM2" s="18" t="str">
        <f t="shared" ca="1" si="1"/>
        <v>EASTERN EUROPE/CENTRAL ASIA</v>
      </c>
      <c r="BN2" s="18" t="str">
        <f t="shared" ca="1" si="1"/>
        <v>MIDDLE EAST/NORTH AFRICA</v>
      </c>
      <c r="BO2" s="18" t="str">
        <f t="shared" ca="1" si="1"/>
        <v>SUB-SAHARAN AFRICA</v>
      </c>
      <c r="BP2" s="18" t="str">
        <f t="shared" ca="1" si="1"/>
        <v>ALL ASIA</v>
      </c>
      <c r="BQ2" s="18" t="str">
        <f t="shared" ca="1" si="1"/>
        <v>LATIN AMERICA/CARIBBEAN</v>
      </c>
      <c r="BR2" s="18" t="str">
        <f t="shared" ca="1" si="1"/>
        <v>SOUTH ASIA</v>
      </c>
      <c r="BS2" s="18" t="str">
        <f t="shared" ca="1" si="1"/>
        <v>EAST ASIA</v>
      </c>
      <c r="BT2" s="18" t="e">
        <f t="shared" ca="1" si="1"/>
        <v>#REF!</v>
      </c>
    </row>
    <row r="3" spans="1:72">
      <c r="C3" t="str">
        <f ca="1">tblIndByType!A2</f>
        <v>OVERALL</v>
      </c>
      <c r="H3" t="str">
        <f ca="1">tblIndByType!C2</f>
        <v>Overall score</v>
      </c>
      <c r="I3" s="19">
        <f>ROUND(SUMPRODUCT(I$4:I$6*$G$4:$G$6),1)</f>
        <v>30.8</v>
      </c>
      <c r="J3" s="19">
        <f t="shared" ref="J3:BK3" si="2">ROUND(SUMPRODUCT(J$4:J$6*$G$4:$G$6),1)</f>
        <v>43.9</v>
      </c>
      <c r="K3" s="19">
        <f t="shared" si="2"/>
        <v>29</v>
      </c>
      <c r="L3" s="19">
        <f t="shared" si="2"/>
        <v>42.7</v>
      </c>
      <c r="M3" s="19">
        <f t="shared" si="2"/>
        <v>71.7</v>
      </c>
      <c r="N3" s="19">
        <f t="shared" si="2"/>
        <v>43.1</v>
      </c>
      <c r="O3" s="19">
        <f t="shared" si="2"/>
        <v>44</v>
      </c>
      <c r="P3" s="19">
        <f t="shared" si="2"/>
        <v>54.1</v>
      </c>
      <c r="Q3" s="19">
        <f t="shared" si="2"/>
        <v>31.6</v>
      </c>
      <c r="R3" s="19">
        <f t="shared" si="2"/>
        <v>48</v>
      </c>
      <c r="S3" s="19">
        <f t="shared" si="2"/>
        <v>34.1</v>
      </c>
      <c r="T3" s="19">
        <f t="shared" si="2"/>
        <v>58.6</v>
      </c>
      <c r="U3" s="19">
        <f t="shared" si="2"/>
        <v>42.5</v>
      </c>
      <c r="V3" s="19">
        <f t="shared" si="2"/>
        <v>47</v>
      </c>
      <c r="W3" s="19">
        <f t="shared" si="2"/>
        <v>36.799999999999997</v>
      </c>
      <c r="X3" s="19">
        <f t="shared" si="2"/>
        <v>59.7</v>
      </c>
      <c r="Y3" s="19">
        <f t="shared" si="2"/>
        <v>57.5</v>
      </c>
      <c r="Z3" s="19">
        <f t="shared" si="2"/>
        <v>31.3</v>
      </c>
      <c r="AA3" s="19">
        <f t="shared" si="2"/>
        <v>45.1</v>
      </c>
      <c r="AB3" s="19">
        <f t="shared" si="2"/>
        <v>60.9</v>
      </c>
      <c r="AC3" s="19">
        <f t="shared" si="2"/>
        <v>51.8</v>
      </c>
      <c r="AD3" s="19">
        <f t="shared" si="2"/>
        <v>33.4</v>
      </c>
      <c r="AE3" s="19">
        <f t="shared" si="2"/>
        <v>49.3</v>
      </c>
      <c r="AF3" s="19">
        <f t="shared" si="2"/>
        <v>62.1</v>
      </c>
      <c r="AG3" s="19">
        <f t="shared" si="2"/>
        <v>35.200000000000003</v>
      </c>
      <c r="AH3" s="19">
        <f t="shared" si="2"/>
        <v>23.7</v>
      </c>
      <c r="AI3" s="19">
        <f t="shared" si="2"/>
        <v>55.8</v>
      </c>
      <c r="AJ3" s="19">
        <f t="shared" si="2"/>
        <v>56.2</v>
      </c>
      <c r="AK3" s="19">
        <f t="shared" si="2"/>
        <v>29.3</v>
      </c>
      <c r="AL3" s="19">
        <f t="shared" si="2"/>
        <v>32.299999999999997</v>
      </c>
      <c r="AM3" s="19">
        <f t="shared" si="2"/>
        <v>47.3</v>
      </c>
      <c r="AN3" s="19">
        <f t="shared" si="2"/>
        <v>30</v>
      </c>
      <c r="AO3" s="19">
        <f t="shared" si="2"/>
        <v>30.3</v>
      </c>
      <c r="AP3" s="19">
        <f t="shared" si="2"/>
        <v>40.299999999999997</v>
      </c>
      <c r="AQ3" s="19">
        <f t="shared" si="2"/>
        <v>30</v>
      </c>
      <c r="AR3" s="19">
        <f t="shared" si="2"/>
        <v>58.7</v>
      </c>
      <c r="AS3" s="19">
        <f t="shared" si="2"/>
        <v>39.4</v>
      </c>
      <c r="AT3" s="19">
        <f t="shared" si="2"/>
        <v>56.5</v>
      </c>
      <c r="AU3" s="19">
        <f t="shared" si="2"/>
        <v>50.9</v>
      </c>
      <c r="AV3" s="19">
        <f t="shared" si="2"/>
        <v>49.5</v>
      </c>
      <c r="AW3" s="19">
        <f t="shared" si="2"/>
        <v>73.8</v>
      </c>
      <c r="AX3" s="19">
        <f t="shared" si="2"/>
        <v>68.400000000000006</v>
      </c>
      <c r="AY3" s="19">
        <f t="shared" si="2"/>
        <v>38.6</v>
      </c>
      <c r="AZ3" s="19">
        <f t="shared" si="2"/>
        <v>32.6</v>
      </c>
      <c r="BA3" s="19">
        <f t="shared" si="2"/>
        <v>40.4</v>
      </c>
      <c r="BB3" s="19">
        <f t="shared" si="2"/>
        <v>40.4</v>
      </c>
      <c r="BC3" s="19">
        <f t="shared" si="2"/>
        <v>48.4</v>
      </c>
      <c r="BD3" s="19">
        <f t="shared" si="2"/>
        <v>21.2</v>
      </c>
      <c r="BE3" s="19">
        <f t="shared" si="2"/>
        <v>22.9</v>
      </c>
      <c r="BF3" s="19">
        <f t="shared" si="2"/>
        <v>30.3</v>
      </c>
      <c r="BG3" s="19">
        <f t="shared" si="2"/>
        <v>57.5</v>
      </c>
      <c r="BH3" s="19">
        <f t="shared" si="2"/>
        <v>28.4</v>
      </c>
      <c r="BI3" s="19">
        <f t="shared" si="2"/>
        <v>24.1</v>
      </c>
      <c r="BJ3" s="19">
        <f t="shared" si="2"/>
        <v>21.6</v>
      </c>
      <c r="BK3" s="19">
        <f t="shared" si="2"/>
        <v>42.1</v>
      </c>
      <c r="BL3" s="20">
        <f ca="1">MMULT($I3:$BK3,tblCountries!M$3:M$57)/SUM(,tblCountries!M$3:M$57)</f>
        <v>43.00181818181818</v>
      </c>
      <c r="BM3" s="20">
        <f ca="1">MMULT($I3:$BK3,tblCountries!N$3:N$57)/SUM(,tblCountries!N$3:N$57)</f>
        <v>41.142857142857146</v>
      </c>
      <c r="BN3" s="20">
        <f ca="1">MMULT($I3:$BK3,tblCountries!O$3:O$57)/SUM(,tblCountries!O$3:O$57)</f>
        <v>33.9</v>
      </c>
      <c r="BO3" s="20">
        <f ca="1">MMULT($I3:$BK3,tblCountries!P$3:P$57)/SUM(,tblCountries!P$3:P$57)</f>
        <v>42.125</v>
      </c>
      <c r="BP3" s="20">
        <f ca="1">MMULT($I3:$BK3,tblCountries!Q$3:Q$57)/SUM(,tblCountries!Q$3:Q$57)</f>
        <v>41.358333333333334</v>
      </c>
      <c r="BQ3" s="20">
        <f ca="1">MMULT($I3:$BK3,tblCountries!R$3:R$57)/SUM(,tblCountries!R$3:R$57)</f>
        <v>46.361904761904761</v>
      </c>
      <c r="BR3" s="20">
        <f ca="1">MMULT($I3:$BK3,tblCountries!S$3:S$57)/SUM(,tblCountries!S$3:S$57)</f>
        <v>46.34</v>
      </c>
      <c r="BS3" s="20">
        <f ca="1">MMULT($I3:$BK3,tblCountries!T$3:T$57)/SUM(,tblCountries!T$3:T$57)</f>
        <v>37.800000000000004</v>
      </c>
      <c r="BT3" s="20" t="e">
        <f ca="1">MMULT($I3:$BK3,tblCountries!U$3:U$57)/SUM(,tblCountries!U$3:U$57)</f>
        <v>#VALUE!</v>
      </c>
    </row>
    <row r="4" spans="1:72">
      <c r="C4" t="str">
        <f ca="1">tblIndByType!A3</f>
        <v>RF00</v>
      </c>
      <c r="D4" s="4" t="s">
        <v>906</v>
      </c>
      <c r="E4">
        <f ca="1">MATCH(C4,Weights!C$4:C$89,0)</f>
        <v>1</v>
      </c>
      <c r="F4">
        <f ca="1">INDEX(Weights!G$4:G$89,E4)</f>
        <v>4</v>
      </c>
      <c r="G4">
        <f>F4/SUMIF(D$4:D$6,D4,F$4:F$6)</f>
        <v>0.4</v>
      </c>
      <c r="H4" t="str">
        <f ca="1">tblIndByType!C3</f>
        <v xml:space="preserve">Regulatory Framework </v>
      </c>
      <c r="I4" s="19">
        <f t="shared" ref="I4:R6" si="3">ROUND(SUMPRODUCT(($D$12:$D$26=$C4)*I$12:I$26*$G$12:$G$26*25),1)</f>
        <v>25</v>
      </c>
      <c r="J4" s="19">
        <f t="shared" si="3"/>
        <v>50</v>
      </c>
      <c r="K4" s="19">
        <f t="shared" si="3"/>
        <v>37.5</v>
      </c>
      <c r="L4" s="19">
        <f t="shared" si="3"/>
        <v>43.8</v>
      </c>
      <c r="M4" s="19">
        <f t="shared" si="3"/>
        <v>81.3</v>
      </c>
      <c r="N4" s="19">
        <f t="shared" si="3"/>
        <v>50</v>
      </c>
      <c r="O4" s="19">
        <f t="shared" si="3"/>
        <v>50</v>
      </c>
      <c r="P4" s="19">
        <f t="shared" si="3"/>
        <v>87.5</v>
      </c>
      <c r="Q4" s="19">
        <f t="shared" si="3"/>
        <v>50</v>
      </c>
      <c r="R4" s="19">
        <f t="shared" si="3"/>
        <v>50</v>
      </c>
      <c r="S4" s="19">
        <f t="shared" ref="S4:AB6" si="4">ROUND(SUMPRODUCT(($D$12:$D$26=$C4)*S$12:S$26*$G$12:$G$26*25),1)</f>
        <v>43.8</v>
      </c>
      <c r="T4" s="19">
        <f t="shared" si="4"/>
        <v>62.5</v>
      </c>
      <c r="U4" s="19">
        <f t="shared" si="4"/>
        <v>43.8</v>
      </c>
      <c r="V4" s="19">
        <f t="shared" si="4"/>
        <v>50</v>
      </c>
      <c r="W4" s="19">
        <f t="shared" si="4"/>
        <v>62.5</v>
      </c>
      <c r="X4" s="19">
        <f t="shared" si="4"/>
        <v>68.8</v>
      </c>
      <c r="Y4" s="19">
        <f t="shared" si="4"/>
        <v>62.5</v>
      </c>
      <c r="Z4" s="19">
        <f t="shared" si="4"/>
        <v>43.8</v>
      </c>
      <c r="AA4" s="19">
        <f t="shared" si="4"/>
        <v>56.3</v>
      </c>
      <c r="AB4" s="19">
        <f t="shared" si="4"/>
        <v>75</v>
      </c>
      <c r="AC4" s="19">
        <f t="shared" ref="AC4:AL6" si="5">ROUND(SUMPRODUCT(($D$12:$D$26=$C4)*AC$12:AC$26*$G$12:$G$26*25),1)</f>
        <v>50</v>
      </c>
      <c r="AD4" s="19">
        <f t="shared" si="5"/>
        <v>43.8</v>
      </c>
      <c r="AE4" s="19">
        <f t="shared" si="5"/>
        <v>50</v>
      </c>
      <c r="AF4" s="19">
        <f t="shared" si="5"/>
        <v>62.5</v>
      </c>
      <c r="AG4" s="19">
        <f t="shared" si="5"/>
        <v>43.8</v>
      </c>
      <c r="AH4" s="19">
        <f t="shared" si="5"/>
        <v>25</v>
      </c>
      <c r="AI4" s="19">
        <f t="shared" si="5"/>
        <v>81.3</v>
      </c>
      <c r="AJ4" s="19">
        <f t="shared" si="5"/>
        <v>81.3</v>
      </c>
      <c r="AK4" s="19">
        <f t="shared" si="5"/>
        <v>37.5</v>
      </c>
      <c r="AL4" s="19">
        <f t="shared" si="5"/>
        <v>50</v>
      </c>
      <c r="AM4" s="19">
        <f t="shared" ref="AM4:AV6" si="6">ROUND(SUMPRODUCT(($D$12:$D$26=$C4)*AM$12:AM$26*$G$12:$G$26*25),1)</f>
        <v>56.3</v>
      </c>
      <c r="AN4" s="19">
        <f t="shared" si="6"/>
        <v>43.8</v>
      </c>
      <c r="AO4" s="19">
        <f t="shared" si="6"/>
        <v>37.5</v>
      </c>
      <c r="AP4" s="19">
        <f t="shared" si="6"/>
        <v>56.3</v>
      </c>
      <c r="AQ4" s="19">
        <f t="shared" si="6"/>
        <v>31.3</v>
      </c>
      <c r="AR4" s="19">
        <f t="shared" si="6"/>
        <v>56.3</v>
      </c>
      <c r="AS4" s="19">
        <f t="shared" si="6"/>
        <v>56.3</v>
      </c>
      <c r="AT4" s="19">
        <f t="shared" si="6"/>
        <v>75</v>
      </c>
      <c r="AU4" s="19">
        <f t="shared" si="6"/>
        <v>56.3</v>
      </c>
      <c r="AV4" s="19">
        <f t="shared" si="6"/>
        <v>62.5</v>
      </c>
      <c r="AW4" s="19">
        <f t="shared" ref="AW4:BK6" si="7">ROUND(SUMPRODUCT(($D$12:$D$26=$C4)*AW$12:AW$26*$G$12:$G$26*25),1)</f>
        <v>81.3</v>
      </c>
      <c r="AX4" s="19">
        <f t="shared" si="7"/>
        <v>87.5</v>
      </c>
      <c r="AY4" s="19">
        <f t="shared" si="7"/>
        <v>56.3</v>
      </c>
      <c r="AZ4" s="19">
        <f t="shared" si="7"/>
        <v>43.8</v>
      </c>
      <c r="BA4" s="19">
        <f t="shared" si="7"/>
        <v>31.3</v>
      </c>
      <c r="BB4" s="19">
        <f t="shared" si="7"/>
        <v>68.8</v>
      </c>
      <c r="BC4" s="19">
        <f t="shared" si="7"/>
        <v>68.8</v>
      </c>
      <c r="BD4" s="19">
        <f t="shared" si="7"/>
        <v>12.5</v>
      </c>
      <c r="BE4" s="19">
        <f t="shared" si="7"/>
        <v>12.5</v>
      </c>
      <c r="BF4" s="19">
        <f t="shared" si="7"/>
        <v>25</v>
      </c>
      <c r="BG4" s="19">
        <f t="shared" si="7"/>
        <v>75</v>
      </c>
      <c r="BH4" s="19">
        <f t="shared" si="7"/>
        <v>31.3</v>
      </c>
      <c r="BI4" s="19">
        <f t="shared" si="7"/>
        <v>25</v>
      </c>
      <c r="BJ4" s="19">
        <f t="shared" si="7"/>
        <v>31.3</v>
      </c>
      <c r="BK4" s="19">
        <f t="shared" si="7"/>
        <v>62.5</v>
      </c>
      <c r="BL4" s="20">
        <f ca="1">MMULT($I4:$BK4,tblCountries!M$3:M$57)/SUM(,tblCountries!M$3:M$57)</f>
        <v>52.069090909090932</v>
      </c>
      <c r="BM4" s="20">
        <f ca="1">MMULT($I4:$BK4,tblCountries!N$3:N$57)/SUM(,tblCountries!N$3:N$57)</f>
        <v>52.7</v>
      </c>
      <c r="BN4" s="20">
        <f ca="1">MMULT($I4:$BK4,tblCountries!O$3:O$57)/SUM(,tblCountries!O$3:O$57)</f>
        <v>45.833333333333336</v>
      </c>
      <c r="BO4" s="20">
        <f ca="1">MMULT($I4:$BK4,tblCountries!P$3:P$57)/SUM(,tblCountries!P$3:P$57)</f>
        <v>59.92499999999999</v>
      </c>
      <c r="BP4" s="20">
        <f ca="1">MMULT($I4:$BK4,tblCountries!Q$3:Q$57)/SUM(,tblCountries!Q$3:Q$57)</f>
        <v>49.508333333333326</v>
      </c>
      <c r="BQ4" s="20">
        <f ca="1">MMULT($I4:$BK4,tblCountries!R$3:R$57)/SUM(,tblCountries!R$3:R$57)</f>
        <v>49.723809523809514</v>
      </c>
      <c r="BR4" s="20">
        <f ca="1">MMULT($I4:$BK4,tblCountries!S$3:S$57)/SUM(,tblCountries!S$3:S$57)</f>
        <v>48.78</v>
      </c>
      <c r="BS4" s="20">
        <f ca="1">MMULT($I4:$BK4,tblCountries!T$3:T$57)/SUM(,tblCountries!T$3:T$57)</f>
        <v>50.028571428571432</v>
      </c>
      <c r="BT4" s="20" t="e">
        <f ca="1">MMULT($I4:$BK4,tblCountries!U$3:U$57)/SUM(,tblCountries!U$3:U$57)</f>
        <v>#VALUE!</v>
      </c>
    </row>
    <row r="5" spans="1:72">
      <c r="C5" t="str">
        <f ca="1">tblIndByType!A4</f>
        <v>IC00</v>
      </c>
      <c r="D5" s="4" t="s">
        <v>906</v>
      </c>
      <c r="E5">
        <f ca="1">MATCH(C5,Weights!C$4:C$89,0)</f>
        <v>2</v>
      </c>
      <c r="F5">
        <f ca="1">INDEX(Weights!G$4:G$89,E5)</f>
        <v>2</v>
      </c>
      <c r="G5">
        <f>F5/SUMIF(D$4:D$6,D5,F$4:F$6)</f>
        <v>0.2</v>
      </c>
      <c r="H5" t="str">
        <f ca="1">tblIndByType!C4</f>
        <v>Investment Climate</v>
      </c>
      <c r="I5" s="19">
        <f t="shared" si="3"/>
        <v>37.5</v>
      </c>
      <c r="J5" s="19">
        <f t="shared" si="3"/>
        <v>53.1</v>
      </c>
      <c r="K5" s="19">
        <f t="shared" si="3"/>
        <v>36.4</v>
      </c>
      <c r="L5" s="19">
        <f t="shared" si="3"/>
        <v>42.5</v>
      </c>
      <c r="M5" s="19">
        <f t="shared" si="3"/>
        <v>46.1</v>
      </c>
      <c r="N5" s="19">
        <f t="shared" si="3"/>
        <v>65.599999999999994</v>
      </c>
      <c r="O5" s="19">
        <f t="shared" si="3"/>
        <v>53.6</v>
      </c>
      <c r="P5" s="19">
        <f t="shared" si="3"/>
        <v>45.6</v>
      </c>
      <c r="Q5" s="19">
        <f t="shared" si="3"/>
        <v>24.7</v>
      </c>
      <c r="R5" s="19">
        <f t="shared" si="3"/>
        <v>73.3</v>
      </c>
      <c r="S5" s="19">
        <f t="shared" si="4"/>
        <v>33.1</v>
      </c>
      <c r="T5" s="19">
        <f t="shared" si="4"/>
        <v>51.4</v>
      </c>
      <c r="U5" s="19">
        <f t="shared" si="4"/>
        <v>58.1</v>
      </c>
      <c r="V5" s="19">
        <f t="shared" si="4"/>
        <v>35</v>
      </c>
      <c r="W5" s="19">
        <f t="shared" si="4"/>
        <v>25.8</v>
      </c>
      <c r="X5" s="19">
        <f t="shared" si="4"/>
        <v>27.5</v>
      </c>
      <c r="Y5" s="19">
        <f t="shared" si="4"/>
        <v>45.8</v>
      </c>
      <c r="Z5" s="19">
        <f t="shared" si="4"/>
        <v>35.299999999999997</v>
      </c>
      <c r="AA5" s="19">
        <f t="shared" si="4"/>
        <v>46.1</v>
      </c>
      <c r="AB5" s="19">
        <f t="shared" si="4"/>
        <v>54.4</v>
      </c>
      <c r="AC5" s="19">
        <f t="shared" si="5"/>
        <v>42.5</v>
      </c>
      <c r="AD5" s="19">
        <f t="shared" si="5"/>
        <v>29.4</v>
      </c>
      <c r="AE5" s="19">
        <f t="shared" si="5"/>
        <v>29.7</v>
      </c>
      <c r="AF5" s="19">
        <f t="shared" si="5"/>
        <v>51.9</v>
      </c>
      <c r="AG5" s="19">
        <f t="shared" si="5"/>
        <v>38.299999999999997</v>
      </c>
      <c r="AH5" s="19">
        <f t="shared" si="5"/>
        <v>51.7</v>
      </c>
      <c r="AI5" s="19">
        <f t="shared" si="5"/>
        <v>50</v>
      </c>
      <c r="AJ5" s="19">
        <f t="shared" si="5"/>
        <v>35</v>
      </c>
      <c r="AK5" s="19">
        <f t="shared" si="5"/>
        <v>38.299999999999997</v>
      </c>
      <c r="AL5" s="19">
        <f t="shared" si="5"/>
        <v>28.1</v>
      </c>
      <c r="AM5" s="19">
        <f t="shared" si="6"/>
        <v>57.5</v>
      </c>
      <c r="AN5" s="19">
        <f t="shared" si="6"/>
        <v>45.6</v>
      </c>
      <c r="AO5" s="19">
        <f t="shared" si="6"/>
        <v>59.7</v>
      </c>
      <c r="AP5" s="19">
        <f t="shared" si="6"/>
        <v>38.9</v>
      </c>
      <c r="AQ5" s="19">
        <f t="shared" si="6"/>
        <v>20.8</v>
      </c>
      <c r="AR5" s="19">
        <f t="shared" si="6"/>
        <v>47.5</v>
      </c>
      <c r="AS5" s="19">
        <f t="shared" si="6"/>
        <v>34.200000000000003</v>
      </c>
      <c r="AT5" s="19">
        <f t="shared" si="6"/>
        <v>49.2</v>
      </c>
      <c r="AU5" s="19">
        <f t="shared" si="6"/>
        <v>58.3</v>
      </c>
      <c r="AV5" s="19">
        <f t="shared" si="6"/>
        <v>38.9</v>
      </c>
      <c r="AW5" s="19">
        <f t="shared" si="7"/>
        <v>56.4</v>
      </c>
      <c r="AX5" s="19">
        <f t="shared" si="7"/>
        <v>50.6</v>
      </c>
      <c r="AY5" s="19">
        <f t="shared" si="7"/>
        <v>30.3</v>
      </c>
      <c r="AZ5" s="19">
        <f t="shared" si="7"/>
        <v>41.9</v>
      </c>
      <c r="BA5" s="19">
        <f t="shared" si="7"/>
        <v>39.4</v>
      </c>
      <c r="BB5" s="19">
        <f t="shared" si="7"/>
        <v>30.8</v>
      </c>
      <c r="BC5" s="19">
        <f t="shared" si="7"/>
        <v>37.799999999999997</v>
      </c>
      <c r="BD5" s="19">
        <f t="shared" si="7"/>
        <v>31.1</v>
      </c>
      <c r="BE5" s="19">
        <f t="shared" si="7"/>
        <v>56.1</v>
      </c>
      <c r="BF5" s="19">
        <f t="shared" si="7"/>
        <v>68.099999999999994</v>
      </c>
      <c r="BG5" s="19">
        <f t="shared" si="7"/>
        <v>54.2</v>
      </c>
      <c r="BH5" s="19">
        <f t="shared" si="7"/>
        <v>45.8</v>
      </c>
      <c r="BI5" s="19">
        <f t="shared" si="7"/>
        <v>37.200000000000003</v>
      </c>
      <c r="BJ5" s="19">
        <f t="shared" si="7"/>
        <v>28.6</v>
      </c>
      <c r="BK5" s="19">
        <f t="shared" si="7"/>
        <v>35.6</v>
      </c>
      <c r="BL5" s="20">
        <f ca="1">MMULT($I5:$BK5,tblCountries!M$3:M$57)/SUM(,tblCountries!M$3:M$57)</f>
        <v>43.278181818181814</v>
      </c>
      <c r="BM5" s="20">
        <f ca="1">MMULT($I5:$BK5,tblCountries!N$3:N$57)/SUM(,tblCountries!N$3:N$57)</f>
        <v>47.871428571428574</v>
      </c>
      <c r="BN5" s="20">
        <f ca="1">MMULT($I5:$BK5,tblCountries!O$3:O$57)/SUM(,tblCountries!O$3:O$57)</f>
        <v>44.533333333333331</v>
      </c>
      <c r="BO5" s="20">
        <f ca="1">MMULT($I5:$BK5,tblCountries!P$3:P$57)/SUM(,tblCountries!P$3:P$57)</f>
        <v>37.966666666666661</v>
      </c>
      <c r="BP5" s="20">
        <f ca="1">MMULT($I5:$BK5,tblCountries!Q$3:Q$57)/SUM(,tblCountries!Q$3:Q$57)</f>
        <v>39.725000000000001</v>
      </c>
      <c r="BQ5" s="20">
        <f ca="1">MMULT($I5:$BK5,tblCountries!R$3:R$57)/SUM(,tblCountries!R$3:R$57)</f>
        <v>46.633333333333333</v>
      </c>
      <c r="BR5" s="20">
        <f ca="1">MMULT($I5:$BK5,tblCountries!S$3:S$57)/SUM(,tblCountries!S$3:S$57)</f>
        <v>40.760000000000005</v>
      </c>
      <c r="BS5" s="20">
        <f ca="1">MMULT($I5:$BK5,tblCountries!T$3:T$57)/SUM(,tblCountries!T$3:T$57)</f>
        <v>38.98571428571428</v>
      </c>
      <c r="BT5" s="20" t="e">
        <f ca="1">MMULT($I5:$BK5,tblCountries!U$3:U$57)/SUM(,tblCountries!U$3:U$57)</f>
        <v>#VALUE!</v>
      </c>
    </row>
    <row r="6" spans="1:72">
      <c r="C6" t="str">
        <f ca="1">tblIndByType!A5</f>
        <v>ID00</v>
      </c>
      <c r="D6" s="4" t="s">
        <v>906</v>
      </c>
      <c r="E6">
        <f ca="1">MATCH(C6,Weights!C$4:C$89,0)</f>
        <v>3</v>
      </c>
      <c r="F6">
        <f ca="1">INDEX(Weights!G$4:G$89,E6)</f>
        <v>4</v>
      </c>
      <c r="G6">
        <f>F6/SUMIF(D$4:D$6,D6,F$4:F$6)</f>
        <v>0.4</v>
      </c>
      <c r="H6" t="str">
        <f ca="1">tblIndByType!C5</f>
        <v>Institutional Development</v>
      </c>
      <c r="I6" s="19">
        <f t="shared" si="3"/>
        <v>33.299999999999997</v>
      </c>
      <c r="J6" s="19">
        <f t="shared" si="3"/>
        <v>33.299999999999997</v>
      </c>
      <c r="K6" s="19">
        <f t="shared" si="3"/>
        <v>16.7</v>
      </c>
      <c r="L6" s="19">
        <f t="shared" si="3"/>
        <v>41.7</v>
      </c>
      <c r="M6" s="19">
        <f t="shared" si="3"/>
        <v>75</v>
      </c>
      <c r="N6" s="19">
        <f t="shared" si="3"/>
        <v>25</v>
      </c>
      <c r="O6" s="19">
        <f t="shared" si="3"/>
        <v>33.299999999999997</v>
      </c>
      <c r="P6" s="19">
        <f t="shared" si="3"/>
        <v>25</v>
      </c>
      <c r="Q6" s="19">
        <f t="shared" si="3"/>
        <v>16.7</v>
      </c>
      <c r="R6" s="19">
        <f t="shared" si="3"/>
        <v>33.299999999999997</v>
      </c>
      <c r="S6" s="19">
        <f t="shared" si="4"/>
        <v>25</v>
      </c>
      <c r="T6" s="19">
        <f t="shared" si="4"/>
        <v>58.3</v>
      </c>
      <c r="U6" s="19">
        <f t="shared" si="4"/>
        <v>33.299999999999997</v>
      </c>
      <c r="V6" s="19">
        <f t="shared" si="4"/>
        <v>50</v>
      </c>
      <c r="W6" s="19">
        <f t="shared" si="4"/>
        <v>16.7</v>
      </c>
      <c r="X6" s="19">
        <f t="shared" si="4"/>
        <v>66.7</v>
      </c>
      <c r="Y6" s="19">
        <f t="shared" si="4"/>
        <v>58.3</v>
      </c>
      <c r="Z6" s="19">
        <f t="shared" si="4"/>
        <v>16.7</v>
      </c>
      <c r="AA6" s="19">
        <f t="shared" si="4"/>
        <v>33.299999999999997</v>
      </c>
      <c r="AB6" s="19">
        <f t="shared" si="4"/>
        <v>50</v>
      </c>
      <c r="AC6" s="19">
        <f t="shared" si="5"/>
        <v>58.3</v>
      </c>
      <c r="AD6" s="19">
        <f t="shared" si="5"/>
        <v>25</v>
      </c>
      <c r="AE6" s="19">
        <f t="shared" si="5"/>
        <v>58.3</v>
      </c>
      <c r="AF6" s="19">
        <f t="shared" si="5"/>
        <v>66.7</v>
      </c>
      <c r="AG6" s="19">
        <f t="shared" si="5"/>
        <v>25</v>
      </c>
      <c r="AH6" s="19">
        <f t="shared" si="5"/>
        <v>8.3000000000000007</v>
      </c>
      <c r="AI6" s="19">
        <f t="shared" si="5"/>
        <v>33.299999999999997</v>
      </c>
      <c r="AJ6" s="19">
        <f t="shared" si="5"/>
        <v>41.7</v>
      </c>
      <c r="AK6" s="19">
        <f t="shared" si="5"/>
        <v>16.7</v>
      </c>
      <c r="AL6" s="19">
        <f t="shared" si="5"/>
        <v>16.7</v>
      </c>
      <c r="AM6" s="19">
        <f t="shared" si="6"/>
        <v>33.299999999999997</v>
      </c>
      <c r="AN6" s="19">
        <f t="shared" si="6"/>
        <v>8.3000000000000007</v>
      </c>
      <c r="AO6" s="19">
        <f t="shared" si="6"/>
        <v>8.3000000000000007</v>
      </c>
      <c r="AP6" s="19">
        <f t="shared" si="6"/>
        <v>25</v>
      </c>
      <c r="AQ6" s="19">
        <f t="shared" si="6"/>
        <v>33.299999999999997</v>
      </c>
      <c r="AR6" s="19">
        <f t="shared" si="6"/>
        <v>66.7</v>
      </c>
      <c r="AS6" s="19">
        <f t="shared" si="6"/>
        <v>25</v>
      </c>
      <c r="AT6" s="19">
        <f t="shared" si="6"/>
        <v>41.7</v>
      </c>
      <c r="AU6" s="19">
        <f t="shared" si="6"/>
        <v>41.7</v>
      </c>
      <c r="AV6" s="19">
        <f t="shared" si="6"/>
        <v>41.7</v>
      </c>
      <c r="AW6" s="19">
        <f t="shared" si="7"/>
        <v>75</v>
      </c>
      <c r="AX6" s="19">
        <f t="shared" si="7"/>
        <v>58.3</v>
      </c>
      <c r="AY6" s="19">
        <f t="shared" si="7"/>
        <v>25</v>
      </c>
      <c r="AZ6" s="19">
        <f t="shared" si="7"/>
        <v>16.7</v>
      </c>
      <c r="BA6" s="19">
        <f t="shared" si="7"/>
        <v>50</v>
      </c>
      <c r="BB6" s="19">
        <f t="shared" si="7"/>
        <v>16.7</v>
      </c>
      <c r="BC6" s="19">
        <f t="shared" si="7"/>
        <v>33.299999999999997</v>
      </c>
      <c r="BD6" s="19">
        <f t="shared" si="7"/>
        <v>25</v>
      </c>
      <c r="BE6" s="19">
        <f t="shared" si="7"/>
        <v>16.7</v>
      </c>
      <c r="BF6" s="19">
        <f t="shared" si="7"/>
        <v>16.7</v>
      </c>
      <c r="BG6" s="19">
        <f t="shared" si="7"/>
        <v>41.7</v>
      </c>
      <c r="BH6" s="19">
        <f t="shared" si="7"/>
        <v>16.7</v>
      </c>
      <c r="BI6" s="19">
        <f t="shared" si="7"/>
        <v>16.7</v>
      </c>
      <c r="BJ6" s="19">
        <f t="shared" si="7"/>
        <v>8.3000000000000007</v>
      </c>
      <c r="BK6" s="19">
        <f t="shared" si="7"/>
        <v>25</v>
      </c>
      <c r="BL6" s="20">
        <f ca="1">MMULT($I6:$BK6,tblCountries!M$3:M$57)/SUM(,tblCountries!M$3:M$57)</f>
        <v>33.789090909090909</v>
      </c>
      <c r="BM6" s="20">
        <f ca="1">MMULT($I6:$BK6,tblCountries!N$3:N$57)/SUM(,tblCountries!N$3:N$57)</f>
        <v>26.199999999999996</v>
      </c>
      <c r="BN6" s="20">
        <f ca="1">MMULT($I6:$BK6,tblCountries!O$3:O$57)/SUM(,tblCountries!O$3:O$57)</f>
        <v>16.666666666666668</v>
      </c>
      <c r="BO6" s="20">
        <f ca="1">MMULT($I6:$BK6,tblCountries!P$3:P$57)/SUM(,tblCountries!P$3:P$57)</f>
        <v>26.399999999999995</v>
      </c>
      <c r="BP6" s="20">
        <f ca="1">MMULT($I6:$BK6,tblCountries!Q$3:Q$57)/SUM(,tblCountries!Q$3:Q$57)</f>
        <v>34.024999999999999</v>
      </c>
      <c r="BQ6" s="20">
        <f ca="1">MMULT($I6:$BK6,tblCountries!R$3:R$57)/SUM(,tblCountries!R$3:R$57)</f>
        <v>42.852380952380955</v>
      </c>
      <c r="BR6" s="20">
        <f ca="1">MMULT($I6:$BK6,tblCountries!S$3:S$57)/SUM(,tblCountries!S$3:S$57)</f>
        <v>46.679999999999993</v>
      </c>
      <c r="BS6" s="20">
        <f ca="1">MMULT($I6:$BK6,tblCountries!T$3:T$57)/SUM(,tblCountries!T$3:T$57)</f>
        <v>24.985714285714288</v>
      </c>
      <c r="BT6" s="20" t="e">
        <f ca="1">MMULT($I6:$BK6,tblCountries!U$3:U$57)/SUM(,tblCountries!U$3:U$57)</f>
        <v>#VALUE!</v>
      </c>
    </row>
    <row r="7" spans="1:72">
      <c r="BL7" s="20"/>
      <c r="BM7" s="20"/>
      <c r="BN7" s="20"/>
      <c r="BO7" s="20"/>
      <c r="BP7" s="20"/>
      <c r="BQ7" s="20"/>
      <c r="BR7" s="20"/>
      <c r="BS7" s="20"/>
      <c r="BT7" s="20"/>
    </row>
    <row r="8" spans="1:72">
      <c r="BK8" s="10"/>
      <c r="BL8" s="20"/>
      <c r="BM8" s="20"/>
      <c r="BN8" s="20"/>
      <c r="BO8" s="20"/>
      <c r="BP8" s="20"/>
      <c r="BQ8" s="20"/>
      <c r="BR8" s="20"/>
      <c r="BS8" s="20"/>
      <c r="BT8" s="20"/>
    </row>
    <row r="9" spans="1:72">
      <c r="E9" s="1" t="s">
        <v>941</v>
      </c>
      <c r="F9" s="1" t="s">
        <v>942</v>
      </c>
      <c r="G9" s="1" t="s">
        <v>943</v>
      </c>
      <c r="BL9" s="20"/>
      <c r="BM9" s="20"/>
      <c r="BN9" s="20"/>
      <c r="BO9" s="20"/>
      <c r="BP9" s="20"/>
      <c r="BQ9" s="20"/>
      <c r="BR9" s="20"/>
      <c r="BS9" s="20"/>
      <c r="BT9" s="20"/>
    </row>
    <row r="10" spans="1:72">
      <c r="A10">
        <f ca="1">tblIndicators!A2</f>
        <v>1</v>
      </c>
      <c r="B10">
        <f ca="1">tblIndicators!B2</f>
        <v>0</v>
      </c>
      <c r="C10" t="str">
        <f ca="1">tblIndicators!C2</f>
        <v>OVERALL</v>
      </c>
      <c r="D10">
        <f ca="1">tblIndicators!D2</f>
        <v>0</v>
      </c>
      <c r="F10">
        <v>1</v>
      </c>
      <c r="H10" t="str">
        <f ca="1">tblIndicators!K2</f>
        <v>Overall score</v>
      </c>
      <c r="BL10" s="20"/>
      <c r="BM10" s="20"/>
      <c r="BN10" s="20"/>
      <c r="BO10" s="20"/>
      <c r="BP10" s="20"/>
      <c r="BQ10" s="20"/>
      <c r="BR10" s="20"/>
      <c r="BS10" s="20"/>
      <c r="BT10" s="20"/>
    </row>
    <row r="11" spans="1:72">
      <c r="A11">
        <f ca="1">tblIndicators!A3</f>
        <v>2</v>
      </c>
      <c r="B11">
        <f ca="1">tblIndicators!B3</f>
        <v>1</v>
      </c>
      <c r="C11" t="str">
        <f ca="1">tblIndicators!C3</f>
        <v>RF00</v>
      </c>
      <c r="D11" t="str">
        <f ca="1">tblIndicators!D3</f>
        <v>OVERALL</v>
      </c>
      <c r="E11">
        <f ca="1">MATCH(C11,Weights!C$4:C$89,0)</f>
        <v>1</v>
      </c>
      <c r="F11">
        <f ca="1">INDEX(Weights!G$4:G$89,E11)</f>
        <v>4</v>
      </c>
      <c r="G11">
        <f>F11/SUMIF(D$11:D$26,D11,F$11:F$26)</f>
        <v>0.4</v>
      </c>
      <c r="H11" t="str">
        <f ca="1">tblIndicators!K3</f>
        <v xml:space="preserve">     Regulatory Framework </v>
      </c>
      <c r="BL11" s="20"/>
      <c r="BM11" s="20"/>
      <c r="BN11" s="20"/>
      <c r="BO11" s="20"/>
      <c r="BP11" s="20"/>
      <c r="BQ11" s="20"/>
      <c r="BR11" s="20"/>
      <c r="BS11" s="20"/>
      <c r="BT11" s="20"/>
    </row>
    <row r="12" spans="1:72">
      <c r="A12">
        <f ca="1">tblIndicators!A4</f>
        <v>3</v>
      </c>
      <c r="B12">
        <f ca="1">tblIndicators!B4</f>
        <v>2</v>
      </c>
      <c r="C12" t="str">
        <f ca="1">tblIndicators!C4</f>
        <v>RF01</v>
      </c>
      <c r="D12" t="str">
        <f ca="1">tblIndicators!D4</f>
        <v>RF00</v>
      </c>
      <c r="E12">
        <f ca="1">MATCH(C12,Weights!C$4:C$89,0)</f>
        <v>7</v>
      </c>
      <c r="F12">
        <f ca="1">INDEX(Weights!G$4:G$89,E12)</f>
        <v>1</v>
      </c>
      <c r="G12">
        <f t="shared" ref="G12:G26" si="8">F12/SUMIF(D$11:D$26,D12,F$11:F$26)</f>
        <v>0.25</v>
      </c>
      <c r="H12" t="str">
        <f ca="1">tblIndicators!K4</f>
        <v xml:space="preserve">          Regulation of microcredit operations</v>
      </c>
      <c r="I12" s="19">
        <v>1</v>
      </c>
      <c r="J12" s="19">
        <v>3</v>
      </c>
      <c r="K12" s="19">
        <v>3</v>
      </c>
      <c r="L12" s="19">
        <v>2</v>
      </c>
      <c r="M12" s="19">
        <v>3</v>
      </c>
      <c r="N12" s="19">
        <v>2</v>
      </c>
      <c r="O12" s="19">
        <v>2</v>
      </c>
      <c r="P12" s="19">
        <v>4</v>
      </c>
      <c r="Q12" s="19">
        <v>3</v>
      </c>
      <c r="R12" s="19">
        <v>3</v>
      </c>
      <c r="S12" s="19">
        <v>2</v>
      </c>
      <c r="T12" s="19">
        <v>2</v>
      </c>
      <c r="U12" s="19">
        <v>2</v>
      </c>
      <c r="V12" s="19">
        <v>2</v>
      </c>
      <c r="W12" s="19">
        <v>2</v>
      </c>
      <c r="X12" s="19">
        <v>2</v>
      </c>
      <c r="Y12" s="19">
        <v>2</v>
      </c>
      <c r="Z12" s="19">
        <v>2</v>
      </c>
      <c r="AA12" s="19">
        <v>3</v>
      </c>
      <c r="AB12" s="19">
        <v>3</v>
      </c>
      <c r="AC12" s="19">
        <v>3</v>
      </c>
      <c r="AD12" s="19">
        <v>2</v>
      </c>
      <c r="AE12" s="19">
        <v>2</v>
      </c>
      <c r="AF12" s="19">
        <v>3</v>
      </c>
      <c r="AG12" s="19">
        <v>2</v>
      </c>
      <c r="AH12" s="19">
        <v>1</v>
      </c>
      <c r="AI12" s="19">
        <v>4</v>
      </c>
      <c r="AJ12" s="19">
        <v>3</v>
      </c>
      <c r="AK12" s="19">
        <v>2</v>
      </c>
      <c r="AL12" s="19">
        <v>2</v>
      </c>
      <c r="AM12" s="19">
        <v>2</v>
      </c>
      <c r="AN12" s="19">
        <v>3</v>
      </c>
      <c r="AO12" s="19">
        <v>2</v>
      </c>
      <c r="AP12" s="19">
        <v>2</v>
      </c>
      <c r="AQ12" s="19">
        <v>2</v>
      </c>
      <c r="AR12" s="19">
        <v>2</v>
      </c>
      <c r="AS12" s="19">
        <v>2</v>
      </c>
      <c r="AT12" s="19">
        <v>3</v>
      </c>
      <c r="AU12" s="19">
        <v>3</v>
      </c>
      <c r="AV12" s="19">
        <v>3</v>
      </c>
      <c r="AW12" s="19">
        <v>3</v>
      </c>
      <c r="AX12" s="19">
        <v>4</v>
      </c>
      <c r="AY12" s="19">
        <v>3</v>
      </c>
      <c r="AZ12" s="19">
        <v>2</v>
      </c>
      <c r="BA12" s="19">
        <v>2</v>
      </c>
      <c r="BB12" s="19">
        <v>3</v>
      </c>
      <c r="BC12" s="19">
        <v>3</v>
      </c>
      <c r="BD12" s="19">
        <v>1</v>
      </c>
      <c r="BE12" s="19">
        <v>1</v>
      </c>
      <c r="BF12" s="19">
        <v>2</v>
      </c>
      <c r="BG12" s="19">
        <v>4</v>
      </c>
      <c r="BH12" s="19">
        <v>2</v>
      </c>
      <c r="BI12" s="19">
        <v>1</v>
      </c>
      <c r="BJ12" s="19">
        <v>1</v>
      </c>
      <c r="BK12" s="19">
        <v>3</v>
      </c>
      <c r="BL12" s="20">
        <f ca="1">MMULT($I12:$BK12,tblCountries!M$3:M$57)/SUM(,tblCountries!M$3:M$57)</f>
        <v>2.3818181818181818</v>
      </c>
      <c r="BM12" s="20">
        <f ca="1">MMULT($I12:$BK12,tblCountries!N$3:N$57)/SUM(,tblCountries!N$3:N$57)</f>
        <v>2.7142857142857144</v>
      </c>
      <c r="BN12" s="20">
        <f ca="1">MMULT($I12:$BK12,tblCountries!O$3:O$57)/SUM(,tblCountries!O$3:O$57)</f>
        <v>2.3333333333333335</v>
      </c>
      <c r="BO12" s="20">
        <f ca="1">MMULT($I12:$BK12,tblCountries!P$3:P$57)/SUM(,tblCountries!P$3:P$57)</f>
        <v>2.6666666666666665</v>
      </c>
      <c r="BP12" s="20">
        <f ca="1">MMULT($I12:$BK12,tblCountries!Q$3:Q$57)/SUM(,tblCountries!Q$3:Q$57)</f>
        <v>2.4166666666666665</v>
      </c>
      <c r="BQ12" s="20">
        <f ca="1">MMULT($I12:$BK12,tblCountries!R$3:R$57)/SUM(,tblCountries!R$3:R$57)</f>
        <v>2.0952380952380953</v>
      </c>
      <c r="BR12" s="20">
        <f ca="1">MMULT($I12:$BK12,tblCountries!S$3:S$57)/SUM(,tblCountries!S$3:S$57)</f>
        <v>2.4</v>
      </c>
      <c r="BS12" s="20">
        <f ca="1">MMULT($I12:$BK12,tblCountries!T$3:T$57)/SUM(,tblCountries!T$3:T$57)</f>
        <v>2.4285714285714284</v>
      </c>
      <c r="BT12" s="20" t="e">
        <f ca="1">MMULT($I12:$BK12,tblCountries!U$3:U$57)/SUM(,tblCountries!U$3:U$57)</f>
        <v>#VALUE!</v>
      </c>
    </row>
    <row r="13" spans="1:72">
      <c r="A13">
        <f ca="1">tblIndicators!A5</f>
        <v>4</v>
      </c>
      <c r="B13">
        <f ca="1">tblIndicators!B5</f>
        <v>2</v>
      </c>
      <c r="C13" t="str">
        <f ca="1">tblIndicators!C5</f>
        <v>RF02</v>
      </c>
      <c r="D13" t="str">
        <f ca="1">tblIndicators!D5</f>
        <v>RF00</v>
      </c>
      <c r="E13">
        <f ca="1">MATCH(C13,Weights!C$4:C$89,0)</f>
        <v>8</v>
      </c>
      <c r="F13">
        <f ca="1">INDEX(Weights!G$4:G$89,E13)</f>
        <v>1</v>
      </c>
      <c r="G13">
        <f t="shared" si="8"/>
        <v>0.25</v>
      </c>
      <c r="H13" t="str">
        <f ca="1">tblIndicators!K5</f>
        <v xml:space="preserve">          Formation and operation of regulated, specialised MFIs</v>
      </c>
      <c r="I13" s="19">
        <v>1</v>
      </c>
      <c r="J13" s="19">
        <v>2</v>
      </c>
      <c r="K13" s="19">
        <v>1</v>
      </c>
      <c r="L13" s="19">
        <v>1</v>
      </c>
      <c r="M13" s="19">
        <v>3</v>
      </c>
      <c r="N13" s="19">
        <v>2</v>
      </c>
      <c r="O13" s="19">
        <v>2</v>
      </c>
      <c r="P13" s="19">
        <v>4</v>
      </c>
      <c r="Q13" s="19">
        <v>2</v>
      </c>
      <c r="R13" s="19">
        <v>2</v>
      </c>
      <c r="S13" s="19">
        <v>2</v>
      </c>
      <c r="T13" s="19">
        <v>2</v>
      </c>
      <c r="U13" s="19">
        <v>2</v>
      </c>
      <c r="V13" s="19">
        <v>2</v>
      </c>
      <c r="W13" s="19">
        <v>3</v>
      </c>
      <c r="X13" s="19">
        <v>3</v>
      </c>
      <c r="Y13" s="19">
        <v>3</v>
      </c>
      <c r="Z13" s="19">
        <v>3</v>
      </c>
      <c r="AA13" s="19">
        <v>3</v>
      </c>
      <c r="AB13" s="19">
        <v>3</v>
      </c>
      <c r="AC13" s="19">
        <v>1</v>
      </c>
      <c r="AD13" s="19">
        <v>1</v>
      </c>
      <c r="AE13" s="19">
        <v>2</v>
      </c>
      <c r="AF13" s="19">
        <v>2</v>
      </c>
      <c r="AG13" s="19">
        <v>2</v>
      </c>
      <c r="AH13" s="19">
        <v>1</v>
      </c>
      <c r="AI13" s="19">
        <v>4</v>
      </c>
      <c r="AJ13" s="19">
        <v>3</v>
      </c>
      <c r="AK13" s="19">
        <v>1</v>
      </c>
      <c r="AL13" s="19">
        <v>2</v>
      </c>
      <c r="AM13" s="19">
        <v>3</v>
      </c>
      <c r="AN13" s="19">
        <v>2</v>
      </c>
      <c r="AO13" s="19">
        <v>3</v>
      </c>
      <c r="AP13" s="19">
        <v>2</v>
      </c>
      <c r="AQ13" s="19">
        <v>1</v>
      </c>
      <c r="AR13" s="19">
        <v>2</v>
      </c>
      <c r="AS13" s="19">
        <v>3</v>
      </c>
      <c r="AT13" s="19">
        <v>3</v>
      </c>
      <c r="AU13" s="19">
        <v>2</v>
      </c>
      <c r="AV13" s="19">
        <v>2</v>
      </c>
      <c r="AW13" s="19">
        <v>4</v>
      </c>
      <c r="AX13" s="19">
        <v>4</v>
      </c>
      <c r="AY13" s="19">
        <v>3</v>
      </c>
      <c r="AZ13" s="19">
        <v>2</v>
      </c>
      <c r="BA13" s="19">
        <v>1</v>
      </c>
      <c r="BB13" s="19">
        <v>3</v>
      </c>
      <c r="BC13" s="19">
        <v>2</v>
      </c>
      <c r="BD13" s="19">
        <v>0</v>
      </c>
      <c r="BE13" s="19">
        <v>0</v>
      </c>
      <c r="BF13" s="19">
        <v>0</v>
      </c>
      <c r="BG13" s="19">
        <v>3</v>
      </c>
      <c r="BH13" s="19">
        <v>1</v>
      </c>
      <c r="BI13" s="19">
        <v>1</v>
      </c>
      <c r="BJ13" s="19">
        <v>1</v>
      </c>
      <c r="BK13" s="19">
        <v>3</v>
      </c>
      <c r="BL13" s="20">
        <f ca="1">MMULT($I13:$BK13,tblCountries!M$3:M$57)/SUM(,tblCountries!M$3:M$57)</f>
        <v>2.1090909090909089</v>
      </c>
      <c r="BM13" s="20">
        <f ca="1">MMULT($I13:$BK13,tblCountries!N$3:N$57)/SUM(,tblCountries!N$3:N$57)</f>
        <v>2</v>
      </c>
      <c r="BN13" s="20">
        <f ca="1">MMULT($I13:$BK13,tblCountries!O$3:O$57)/SUM(,tblCountries!O$3:O$57)</f>
        <v>2.3333333333333335</v>
      </c>
      <c r="BO13" s="20">
        <f ca="1">MMULT($I13:$BK13,tblCountries!P$3:P$57)/SUM(,tblCountries!P$3:P$57)</f>
        <v>2.6666666666666665</v>
      </c>
      <c r="BP13" s="20">
        <f ca="1">MMULT($I13:$BK13,tblCountries!Q$3:Q$57)/SUM(,tblCountries!Q$3:Q$57)</f>
        <v>1.9166666666666667</v>
      </c>
      <c r="BQ13" s="20">
        <f ca="1">MMULT($I13:$BK13,tblCountries!R$3:R$57)/SUM(,tblCountries!R$3:R$57)</f>
        <v>1.9047619047619047</v>
      </c>
      <c r="BR13" s="20">
        <f ca="1">MMULT($I13:$BK13,tblCountries!S$3:S$57)/SUM(,tblCountries!S$3:S$57)</f>
        <v>1.6</v>
      </c>
      <c r="BS13" s="20">
        <f ca="1">MMULT($I13:$BK13,tblCountries!T$3:T$57)/SUM(,tblCountries!T$3:T$57)</f>
        <v>2.1428571428571428</v>
      </c>
      <c r="BT13" s="20" t="e">
        <f ca="1">MMULT($I13:$BK13,tblCountries!U$3:U$57)/SUM(,tblCountries!U$3:U$57)</f>
        <v>#VALUE!</v>
      </c>
    </row>
    <row r="14" spans="1:72">
      <c r="A14">
        <f ca="1">tblIndicators!A6</f>
        <v>5</v>
      </c>
      <c r="B14">
        <f ca="1">tblIndicators!B6</f>
        <v>2</v>
      </c>
      <c r="C14" t="str">
        <f ca="1">tblIndicators!C6</f>
        <v>RF03</v>
      </c>
      <c r="D14" t="str">
        <f ca="1">tblIndicators!D6</f>
        <v>RF00</v>
      </c>
      <c r="E14">
        <f ca="1">MATCH(C14,Weights!C$4:C$89,0)</f>
        <v>9</v>
      </c>
      <c r="F14">
        <f ca="1">INDEX(Weights!G$4:G$89,E14)</f>
        <v>1</v>
      </c>
      <c r="G14">
        <f t="shared" si="8"/>
        <v>0.25</v>
      </c>
      <c r="H14" t="str">
        <f ca="1">tblIndicators!K6</f>
        <v xml:space="preserve">          Formation and operation of non-regulated MFIs</v>
      </c>
      <c r="I14" s="19">
        <v>1</v>
      </c>
      <c r="J14" s="19">
        <v>0</v>
      </c>
      <c r="K14" s="19">
        <v>0</v>
      </c>
      <c r="L14" s="19">
        <v>2</v>
      </c>
      <c r="M14" s="19">
        <v>4</v>
      </c>
      <c r="N14" s="19">
        <v>2</v>
      </c>
      <c r="O14" s="19">
        <v>2</v>
      </c>
      <c r="P14" s="19">
        <v>3</v>
      </c>
      <c r="Q14" s="19">
        <v>2</v>
      </c>
      <c r="R14" s="19">
        <v>2</v>
      </c>
      <c r="S14" s="19">
        <v>1</v>
      </c>
      <c r="T14" s="19">
        <v>3</v>
      </c>
      <c r="U14" s="19">
        <v>2</v>
      </c>
      <c r="V14" s="19">
        <v>3</v>
      </c>
      <c r="W14" s="19">
        <v>3</v>
      </c>
      <c r="X14" s="19">
        <v>3</v>
      </c>
      <c r="Y14" s="19">
        <v>3</v>
      </c>
      <c r="Z14" s="19">
        <v>0</v>
      </c>
      <c r="AA14" s="19">
        <v>0</v>
      </c>
      <c r="AB14" s="19">
        <v>4</v>
      </c>
      <c r="AC14" s="19">
        <v>3</v>
      </c>
      <c r="AD14" s="19">
        <v>3</v>
      </c>
      <c r="AE14" s="19">
        <v>2</v>
      </c>
      <c r="AF14" s="19">
        <v>3</v>
      </c>
      <c r="AG14" s="19">
        <v>1</v>
      </c>
      <c r="AH14" s="19">
        <v>1</v>
      </c>
      <c r="AI14" s="19">
        <v>3</v>
      </c>
      <c r="AJ14" s="19">
        <v>4</v>
      </c>
      <c r="AK14" s="19">
        <v>2</v>
      </c>
      <c r="AL14" s="19">
        <v>3</v>
      </c>
      <c r="AM14" s="19">
        <v>2</v>
      </c>
      <c r="AN14" s="19">
        <v>0</v>
      </c>
      <c r="AO14" s="19">
        <v>0</v>
      </c>
      <c r="AP14" s="19">
        <v>3</v>
      </c>
      <c r="AQ14" s="19">
        <v>2</v>
      </c>
      <c r="AR14" s="19">
        <v>3</v>
      </c>
      <c r="AS14" s="19">
        <v>3</v>
      </c>
      <c r="AT14" s="19">
        <v>3</v>
      </c>
      <c r="AU14" s="19">
        <v>2</v>
      </c>
      <c r="AV14" s="19">
        <v>3</v>
      </c>
      <c r="AW14" s="19">
        <v>2</v>
      </c>
      <c r="AX14" s="19">
        <v>3</v>
      </c>
      <c r="AY14" s="19">
        <v>2</v>
      </c>
      <c r="AZ14" s="19">
        <v>1</v>
      </c>
      <c r="BA14" s="19">
        <v>2</v>
      </c>
      <c r="BB14" s="19">
        <v>3</v>
      </c>
      <c r="BC14" s="19">
        <v>3</v>
      </c>
      <c r="BD14" s="19">
        <v>1</v>
      </c>
      <c r="BE14" s="19">
        <v>1</v>
      </c>
      <c r="BF14" s="19">
        <v>1</v>
      </c>
      <c r="BG14" s="19">
        <v>2</v>
      </c>
      <c r="BH14" s="19">
        <v>1</v>
      </c>
      <c r="BI14" s="19">
        <v>1</v>
      </c>
      <c r="BJ14" s="19">
        <v>2</v>
      </c>
      <c r="BK14" s="19">
        <v>3</v>
      </c>
      <c r="BL14" s="20">
        <f ca="1">MMULT($I14:$BK14,tblCountries!M$3:M$57)/SUM(,tblCountries!M$3:M$57)</f>
        <v>2.0727272727272728</v>
      </c>
      <c r="BM14" s="20">
        <f ca="1">MMULT($I14:$BK14,tblCountries!N$3:N$57)/SUM(,tblCountries!N$3:N$57)</f>
        <v>1.4285714285714286</v>
      </c>
      <c r="BN14" s="20">
        <f ca="1">MMULT($I14:$BK14,tblCountries!O$3:O$57)/SUM(,tblCountries!O$3:O$57)</f>
        <v>1.6666666666666667</v>
      </c>
      <c r="BO14" s="20">
        <f ca="1">MMULT($I14:$BK14,tblCountries!P$3:P$57)/SUM(,tblCountries!P$3:P$57)</f>
        <v>2.4166666666666665</v>
      </c>
      <c r="BP14" s="20">
        <f ca="1">MMULT($I14:$BK14,tblCountries!Q$3:Q$57)/SUM(,tblCountries!Q$3:Q$57)</f>
        <v>1.9166666666666667</v>
      </c>
      <c r="BQ14" s="20">
        <f ca="1">MMULT($I14:$BK14,tblCountries!R$3:R$57)/SUM(,tblCountries!R$3:R$57)</f>
        <v>2.2380952380952381</v>
      </c>
      <c r="BR14" s="20">
        <f ca="1">MMULT($I14:$BK14,tblCountries!S$3:S$57)/SUM(,tblCountries!S$3:S$57)</f>
        <v>2.4</v>
      </c>
      <c r="BS14" s="20">
        <f ca="1">MMULT($I14:$BK14,tblCountries!T$3:T$57)/SUM(,tblCountries!T$3:T$57)</f>
        <v>1.5714285714285714</v>
      </c>
      <c r="BT14" s="20" t="e">
        <f ca="1">MMULT($I14:$BK14,tblCountries!U$3:U$57)/SUM(,tblCountries!U$3:U$57)</f>
        <v>#VALUE!</v>
      </c>
    </row>
    <row r="15" spans="1:72">
      <c r="A15">
        <f ca="1">tblIndicators!A7</f>
        <v>6</v>
      </c>
      <c r="B15">
        <f ca="1">tblIndicators!B7</f>
        <v>2</v>
      </c>
      <c r="C15" t="str">
        <f ca="1">tblIndicators!C7</f>
        <v>RF04</v>
      </c>
      <c r="D15" t="str">
        <f ca="1">tblIndicators!D7</f>
        <v>RF00</v>
      </c>
      <c r="E15">
        <f ca="1">MATCH(C15,Weights!C$4:C$89,0)</f>
        <v>10</v>
      </c>
      <c r="F15">
        <f ca="1">INDEX(Weights!G$4:G$89,E15)</f>
        <v>1</v>
      </c>
      <c r="G15">
        <f t="shared" si="8"/>
        <v>0.25</v>
      </c>
      <c r="H15" t="str">
        <f ca="1">tblIndicators!K7</f>
        <v xml:space="preserve">          Regulatory and examination capacity</v>
      </c>
      <c r="I15" s="19">
        <v>1</v>
      </c>
      <c r="J15" s="19">
        <v>3</v>
      </c>
      <c r="K15" s="19">
        <v>2</v>
      </c>
      <c r="L15" s="19">
        <v>2</v>
      </c>
      <c r="M15" s="19">
        <v>3</v>
      </c>
      <c r="N15" s="19">
        <v>2</v>
      </c>
      <c r="O15" s="19">
        <v>2</v>
      </c>
      <c r="P15" s="19">
        <v>3</v>
      </c>
      <c r="Q15" s="19">
        <v>1</v>
      </c>
      <c r="R15" s="19">
        <v>1</v>
      </c>
      <c r="S15" s="19">
        <v>2</v>
      </c>
      <c r="T15" s="19">
        <v>3</v>
      </c>
      <c r="U15" s="19">
        <v>1</v>
      </c>
      <c r="V15" s="19">
        <v>1</v>
      </c>
      <c r="W15" s="19">
        <v>2</v>
      </c>
      <c r="X15" s="19">
        <v>3</v>
      </c>
      <c r="Y15" s="19">
        <v>2</v>
      </c>
      <c r="Z15" s="19">
        <v>2</v>
      </c>
      <c r="AA15" s="19">
        <v>3</v>
      </c>
      <c r="AB15" s="19">
        <v>2</v>
      </c>
      <c r="AC15" s="19">
        <v>1</v>
      </c>
      <c r="AD15" s="19">
        <v>1</v>
      </c>
      <c r="AE15" s="19">
        <v>2</v>
      </c>
      <c r="AF15" s="19">
        <v>2</v>
      </c>
      <c r="AG15" s="19">
        <v>2</v>
      </c>
      <c r="AH15" s="19">
        <v>1</v>
      </c>
      <c r="AI15" s="19">
        <v>2</v>
      </c>
      <c r="AJ15" s="19">
        <v>3</v>
      </c>
      <c r="AK15" s="19">
        <v>1</v>
      </c>
      <c r="AL15" s="19">
        <v>1</v>
      </c>
      <c r="AM15" s="19">
        <v>2</v>
      </c>
      <c r="AN15" s="19">
        <v>2</v>
      </c>
      <c r="AO15" s="19">
        <v>1</v>
      </c>
      <c r="AP15" s="19">
        <v>2</v>
      </c>
      <c r="AQ15" s="19">
        <v>0</v>
      </c>
      <c r="AR15" s="19">
        <v>2</v>
      </c>
      <c r="AS15" s="19">
        <v>1</v>
      </c>
      <c r="AT15" s="19">
        <v>3</v>
      </c>
      <c r="AU15" s="19">
        <v>2</v>
      </c>
      <c r="AV15" s="19">
        <v>2</v>
      </c>
      <c r="AW15" s="19">
        <v>4</v>
      </c>
      <c r="AX15" s="19">
        <v>3</v>
      </c>
      <c r="AY15" s="19">
        <v>1</v>
      </c>
      <c r="AZ15" s="19">
        <v>2</v>
      </c>
      <c r="BA15" s="19">
        <v>0</v>
      </c>
      <c r="BB15" s="19">
        <v>2</v>
      </c>
      <c r="BC15" s="19">
        <v>3</v>
      </c>
      <c r="BD15" s="19">
        <v>0</v>
      </c>
      <c r="BE15" s="19">
        <v>0</v>
      </c>
      <c r="BF15" s="19">
        <v>1</v>
      </c>
      <c r="BG15" s="19">
        <v>3</v>
      </c>
      <c r="BH15" s="19">
        <v>1</v>
      </c>
      <c r="BI15" s="19">
        <v>1</v>
      </c>
      <c r="BJ15" s="19">
        <v>1</v>
      </c>
      <c r="BK15" s="19">
        <v>1</v>
      </c>
      <c r="BL15" s="20">
        <f ca="1">MMULT($I15:$BK15,tblCountries!M$3:M$57)/SUM(,tblCountries!M$3:M$57)</f>
        <v>1.7636363636363637</v>
      </c>
      <c r="BM15" s="20">
        <f ca="1">MMULT($I15:$BK15,tblCountries!N$3:N$57)/SUM(,tblCountries!N$3:N$57)</f>
        <v>2.2857142857142856</v>
      </c>
      <c r="BN15" s="20">
        <f ca="1">MMULT($I15:$BK15,tblCountries!O$3:O$57)/SUM(,tblCountries!O$3:O$57)</f>
        <v>1</v>
      </c>
      <c r="BO15" s="20">
        <f ca="1">MMULT($I15:$BK15,tblCountries!P$3:P$57)/SUM(,tblCountries!P$3:P$57)</f>
        <v>1.8333333333333333</v>
      </c>
      <c r="BP15" s="20">
        <f ca="1">MMULT($I15:$BK15,tblCountries!Q$3:Q$57)/SUM(,tblCountries!Q$3:Q$57)</f>
        <v>1.6666666666666667</v>
      </c>
      <c r="BQ15" s="20">
        <f ca="1">MMULT($I15:$BK15,tblCountries!R$3:R$57)/SUM(,tblCountries!R$3:R$57)</f>
        <v>1.7142857142857142</v>
      </c>
      <c r="BR15" s="20">
        <f ca="1">MMULT($I15:$BK15,tblCountries!S$3:S$57)/SUM(,tblCountries!S$3:S$57)</f>
        <v>1.4</v>
      </c>
      <c r="BS15" s="20">
        <f ca="1">MMULT($I15:$BK15,tblCountries!T$3:T$57)/SUM(,tblCountries!T$3:T$57)</f>
        <v>1.8571428571428572</v>
      </c>
      <c r="BT15" s="20" t="e">
        <f ca="1">MMULT($I15:$BK15,tblCountries!U$3:U$57)/SUM(,tblCountries!U$3:U$57)</f>
        <v>#VALUE!</v>
      </c>
    </row>
    <row r="16" spans="1:72">
      <c r="A16">
        <f ca="1">tblIndicators!A8</f>
        <v>7</v>
      </c>
      <c r="B16">
        <f ca="1">tblIndicators!B8</f>
        <v>1</v>
      </c>
      <c r="C16" t="str">
        <f ca="1">tblIndicators!C8</f>
        <v>IC00</v>
      </c>
      <c r="D16" t="str">
        <f ca="1">tblIndicators!D8</f>
        <v>OVERALL</v>
      </c>
      <c r="E16">
        <f ca="1">MATCH(C16,Weights!C$4:C$89,0)</f>
        <v>2</v>
      </c>
      <c r="F16">
        <f ca="1">INDEX(Weights!G$4:G$89,E16)</f>
        <v>2</v>
      </c>
      <c r="G16">
        <f t="shared" si="8"/>
        <v>0.2</v>
      </c>
      <c r="H16" t="str">
        <f ca="1">tblIndicators!K8</f>
        <v xml:space="preserve">     Investment Climate</v>
      </c>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20"/>
      <c r="BM16" s="20"/>
      <c r="BN16" s="20"/>
      <c r="BO16" s="20"/>
      <c r="BP16" s="20"/>
      <c r="BQ16" s="20"/>
      <c r="BR16" s="20"/>
      <c r="BS16" s="20"/>
      <c r="BT16" s="20"/>
    </row>
    <row r="17" spans="1:72">
      <c r="A17">
        <f ca="1">tblIndicators!A9</f>
        <v>8</v>
      </c>
      <c r="B17">
        <f ca="1">tblIndicators!B9</f>
        <v>2</v>
      </c>
      <c r="C17" t="str">
        <f ca="1">tblIndicators!C9</f>
        <v>IC01</v>
      </c>
      <c r="D17" t="str">
        <f ca="1">tblIndicators!D9</f>
        <v>IC00</v>
      </c>
      <c r="E17">
        <f ca="1">MATCH(C17,Weights!C$4:C$89,0)</f>
        <v>12</v>
      </c>
      <c r="F17">
        <f ca="1">INDEX(Weights!G$4:G$89,E17)</f>
        <v>1</v>
      </c>
      <c r="G17">
        <f t="shared" si="8"/>
        <v>0.16666666666666666</v>
      </c>
      <c r="H17" t="str">
        <f ca="1">tblIndicators!K9</f>
        <v xml:space="preserve">          Political stability</v>
      </c>
      <c r="I17" s="19">
        <v>2</v>
      </c>
      <c r="J17" s="19">
        <v>1</v>
      </c>
      <c r="K17" s="19">
        <v>1</v>
      </c>
      <c r="L17" s="19">
        <v>1.8</v>
      </c>
      <c r="M17" s="19">
        <v>1.2</v>
      </c>
      <c r="N17" s="19">
        <v>2</v>
      </c>
      <c r="O17" s="19">
        <v>3</v>
      </c>
      <c r="P17" s="19">
        <v>0.8</v>
      </c>
      <c r="Q17" s="19">
        <v>1.4</v>
      </c>
      <c r="R17" s="19">
        <v>3</v>
      </c>
      <c r="S17" s="19">
        <v>1.8</v>
      </c>
      <c r="T17" s="19">
        <v>2.2000000000000002</v>
      </c>
      <c r="U17" s="19">
        <v>3.4</v>
      </c>
      <c r="V17" s="19">
        <v>1.8</v>
      </c>
      <c r="W17" s="19">
        <v>1.2</v>
      </c>
      <c r="X17" s="188">
        <v>0.8</v>
      </c>
      <c r="Y17" s="19">
        <v>2</v>
      </c>
      <c r="Z17" s="19">
        <v>1.4</v>
      </c>
      <c r="AA17" s="19">
        <v>0.6</v>
      </c>
      <c r="AB17" s="19">
        <v>2.4</v>
      </c>
      <c r="AC17" s="19">
        <v>2</v>
      </c>
      <c r="AD17" s="19">
        <v>1.6</v>
      </c>
      <c r="AE17" s="188">
        <v>0.6</v>
      </c>
      <c r="AF17" s="19">
        <v>2.8</v>
      </c>
      <c r="AG17" s="19">
        <v>2.4</v>
      </c>
      <c r="AH17" s="19">
        <v>2.8</v>
      </c>
      <c r="AI17" s="19">
        <v>1.4</v>
      </c>
      <c r="AJ17" s="19">
        <v>1.4</v>
      </c>
      <c r="AK17" s="19">
        <v>1</v>
      </c>
      <c r="AL17" s="19">
        <v>0.6</v>
      </c>
      <c r="AM17" s="19">
        <v>2.4</v>
      </c>
      <c r="AN17" s="19">
        <v>2.2000000000000002</v>
      </c>
      <c r="AO17" s="19">
        <v>1.6</v>
      </c>
      <c r="AP17" s="19">
        <v>2.2000000000000002</v>
      </c>
      <c r="AQ17" s="19">
        <v>0.8</v>
      </c>
      <c r="AR17" s="19">
        <v>2</v>
      </c>
      <c r="AS17" s="19">
        <v>2</v>
      </c>
      <c r="AT17" s="19">
        <v>1.2</v>
      </c>
      <c r="AU17" s="19">
        <v>2.2000000000000002</v>
      </c>
      <c r="AV17" s="19">
        <v>1.8</v>
      </c>
      <c r="AW17" s="19">
        <v>2.2000000000000002</v>
      </c>
      <c r="AX17" s="19">
        <v>1.8</v>
      </c>
      <c r="AY17" s="19">
        <v>1.6</v>
      </c>
      <c r="AZ17" s="19">
        <v>2</v>
      </c>
      <c r="BA17" s="19">
        <v>2.4</v>
      </c>
      <c r="BB17" s="19">
        <v>0.8</v>
      </c>
      <c r="BC17" s="19">
        <v>2.2000000000000002</v>
      </c>
      <c r="BD17" s="19">
        <v>1.4</v>
      </c>
      <c r="BE17" s="19">
        <v>2.6</v>
      </c>
      <c r="BF17" s="19">
        <v>1.8</v>
      </c>
      <c r="BG17" s="19">
        <v>1.6</v>
      </c>
      <c r="BH17" s="19">
        <v>2.8</v>
      </c>
      <c r="BI17" s="19">
        <v>1.4</v>
      </c>
      <c r="BJ17" s="19">
        <v>1.8</v>
      </c>
      <c r="BK17" s="19">
        <v>1.2</v>
      </c>
      <c r="BL17" s="20">
        <f ca="1">MMULT($I17:$BK17,tblCountries!M$3:M$57)/SUM(,tblCountries!M$3:M$57)</f>
        <v>1.7709090909090908</v>
      </c>
      <c r="BM17" s="20">
        <f ca="1">MMULT($I17:$BK17,tblCountries!N$3:N$57)/SUM(,tblCountries!N$3:N$57)</f>
        <v>1.2285714285714284</v>
      </c>
      <c r="BN17" s="20">
        <f ca="1">MMULT($I17:$BK17,tblCountries!O$3:O$57)/SUM(,tblCountries!O$3:O$57)</f>
        <v>1.2666666666666666</v>
      </c>
      <c r="BO17" s="20">
        <f ca="1">MMULT($I17:$BK17,tblCountries!P$3:P$57)/SUM(,tblCountries!P$3:P$57)</f>
        <v>1.6666666666666663</v>
      </c>
      <c r="BP17" s="20">
        <f ca="1">MMULT($I17:$BK17,tblCountries!Q$3:Q$57)/SUM(,tblCountries!Q$3:Q$57)</f>
        <v>1.7666666666666666</v>
      </c>
      <c r="BQ17" s="20">
        <f ca="1">MMULT($I17:$BK17,tblCountries!R$3:R$57)/SUM(,tblCountries!R$3:R$57)</f>
        <v>2.0857142857142854</v>
      </c>
      <c r="BR17" s="20">
        <f ca="1">MMULT($I17:$BK17,tblCountries!S$3:S$57)/SUM(,tblCountries!S$3:S$57)</f>
        <v>1.8</v>
      </c>
      <c r="BS17" s="20">
        <f ca="1">MMULT($I17:$BK17,tblCountries!T$3:T$57)/SUM(,tblCountries!T$3:T$57)</f>
        <v>1.7428571428571431</v>
      </c>
      <c r="BT17" s="20" t="e">
        <f ca="1">MMULT($I17:$BK17,tblCountries!U$3:U$57)/SUM(,tblCountries!U$3:U$57)</f>
        <v>#VALUE!</v>
      </c>
    </row>
    <row r="18" spans="1:72">
      <c r="A18">
        <f ca="1">tblIndicators!A10</f>
        <v>9</v>
      </c>
      <c r="B18">
        <f ca="1">tblIndicators!B10</f>
        <v>2</v>
      </c>
      <c r="C18" t="str">
        <f ca="1">tblIndicators!C10</f>
        <v>IC02</v>
      </c>
      <c r="D18" t="str">
        <f ca="1">tblIndicators!D10</f>
        <v>IC00</v>
      </c>
      <c r="E18">
        <f ca="1">MATCH(C18,Weights!C$4:C$89,0)</f>
        <v>13</v>
      </c>
      <c r="F18">
        <f ca="1">INDEX(Weights!G$4:G$89,E18)</f>
        <v>1</v>
      </c>
      <c r="G18">
        <f t="shared" si="8"/>
        <v>0.16666666666666666</v>
      </c>
      <c r="H18" t="str">
        <f ca="1">tblIndicators!K10</f>
        <v xml:space="preserve">          Capital market development</v>
      </c>
      <c r="I18" s="19">
        <v>2</v>
      </c>
      <c r="J18" s="19">
        <v>1.4</v>
      </c>
      <c r="K18" s="19">
        <v>1.4</v>
      </c>
      <c r="L18" s="19">
        <v>2.4</v>
      </c>
      <c r="M18" s="19">
        <v>1.2</v>
      </c>
      <c r="N18" s="19">
        <v>1.4</v>
      </c>
      <c r="O18" s="19">
        <v>2.2000000000000002</v>
      </c>
      <c r="P18" s="19">
        <v>0.8</v>
      </c>
      <c r="Q18" s="19">
        <v>1.2</v>
      </c>
      <c r="R18" s="19">
        <v>3.6</v>
      </c>
      <c r="S18" s="19">
        <v>2.8</v>
      </c>
      <c r="T18" s="19">
        <v>1.8</v>
      </c>
      <c r="U18" s="19">
        <v>2.2000000000000002</v>
      </c>
      <c r="V18" s="19">
        <v>0.6</v>
      </c>
      <c r="W18" s="19">
        <v>1</v>
      </c>
      <c r="X18" s="19">
        <v>0.8</v>
      </c>
      <c r="Y18" s="19">
        <v>2</v>
      </c>
      <c r="Z18" s="19">
        <v>1.4</v>
      </c>
      <c r="AA18" s="19">
        <v>1.8</v>
      </c>
      <c r="AB18" s="19">
        <v>2</v>
      </c>
      <c r="AC18" s="19">
        <v>1.2</v>
      </c>
      <c r="AD18" s="19">
        <v>0.8</v>
      </c>
      <c r="AE18" s="19">
        <v>1.2</v>
      </c>
      <c r="AF18" s="19">
        <v>2</v>
      </c>
      <c r="AG18" s="19">
        <v>1.8</v>
      </c>
      <c r="AH18" s="19">
        <v>1.6</v>
      </c>
      <c r="AI18" s="19">
        <v>1.6</v>
      </c>
      <c r="AJ18" s="19">
        <v>1</v>
      </c>
      <c r="AK18" s="19">
        <v>2.2000000000000002</v>
      </c>
      <c r="AL18" s="19">
        <v>0.8</v>
      </c>
      <c r="AM18" s="19">
        <v>2.4</v>
      </c>
      <c r="AN18" s="19">
        <v>1.4</v>
      </c>
      <c r="AO18" s="19">
        <v>2.4</v>
      </c>
      <c r="AP18" s="19">
        <v>1.8</v>
      </c>
      <c r="AQ18" s="19">
        <v>1.2</v>
      </c>
      <c r="AR18" s="19">
        <v>1.4</v>
      </c>
      <c r="AS18" s="19">
        <v>1.2</v>
      </c>
      <c r="AT18" s="19">
        <v>1.6</v>
      </c>
      <c r="AU18" s="19">
        <v>2.8</v>
      </c>
      <c r="AV18" s="19">
        <v>1.2</v>
      </c>
      <c r="AW18" s="19">
        <v>2</v>
      </c>
      <c r="AX18" s="19">
        <v>2</v>
      </c>
      <c r="AY18" s="19">
        <v>1</v>
      </c>
      <c r="AZ18" s="19">
        <v>1.4</v>
      </c>
      <c r="BA18" s="19">
        <v>1.4</v>
      </c>
      <c r="BB18" s="19">
        <v>0.6</v>
      </c>
      <c r="BC18" s="19">
        <v>1.2</v>
      </c>
      <c r="BD18" s="19">
        <v>2.4</v>
      </c>
      <c r="BE18" s="19">
        <v>2.2000000000000002</v>
      </c>
      <c r="BF18" s="19">
        <v>2.2000000000000002</v>
      </c>
      <c r="BG18" s="19">
        <v>1.4</v>
      </c>
      <c r="BH18" s="19">
        <v>1.2</v>
      </c>
      <c r="BI18" s="19">
        <v>1.2</v>
      </c>
      <c r="BJ18" s="19">
        <v>1.4</v>
      </c>
      <c r="BK18" s="19">
        <v>1</v>
      </c>
      <c r="BL18" s="20">
        <f ca="1">MMULT($I18:$BK18,tblCountries!M$3:M$57)/SUM(,tblCountries!M$3:M$57)</f>
        <v>1.6036363636363644</v>
      </c>
      <c r="BM18" s="20">
        <f ca="1">MMULT($I18:$BK18,tblCountries!N$3:N$57)/SUM(,tblCountries!N$3:N$57)</f>
        <v>1.4</v>
      </c>
      <c r="BN18" s="20">
        <f ca="1">MMULT($I18:$BK18,tblCountries!O$3:O$57)/SUM(,tblCountries!O$3:O$57)</f>
        <v>1.8666666666666665</v>
      </c>
      <c r="BO18" s="20">
        <f ca="1">MMULT($I18:$BK18,tblCountries!P$3:P$57)/SUM(,tblCountries!P$3:P$57)</f>
        <v>1.3333333333333333</v>
      </c>
      <c r="BP18" s="20">
        <f ca="1">MMULT($I18:$BK18,tblCountries!Q$3:Q$57)/SUM(,tblCountries!Q$3:Q$57)</f>
        <v>1.7666666666666664</v>
      </c>
      <c r="BQ18" s="20">
        <f ca="1">MMULT($I18:$BK18,tblCountries!R$3:R$57)/SUM(,tblCountries!R$3:R$57)</f>
        <v>1.6952380952380952</v>
      </c>
      <c r="BR18" s="20">
        <f ca="1">MMULT($I18:$BK18,tblCountries!S$3:S$57)/SUM(,tblCountries!S$3:S$57)</f>
        <v>1.7200000000000002</v>
      </c>
      <c r="BS18" s="20">
        <f ca="1">MMULT($I18:$BK18,tblCountries!T$3:T$57)/SUM(,tblCountries!T$3:T$57)</f>
        <v>1.8</v>
      </c>
      <c r="BT18" s="20" t="e">
        <f ca="1">MMULT($I18:$BK18,tblCountries!U$3:U$57)/SUM(,tblCountries!U$3:U$57)</f>
        <v>#VALUE!</v>
      </c>
    </row>
    <row r="19" spans="1:72">
      <c r="A19">
        <f ca="1">tblIndicators!A11</f>
        <v>10</v>
      </c>
      <c r="B19">
        <f ca="1">tblIndicators!B11</f>
        <v>2</v>
      </c>
      <c r="C19" t="str">
        <f ca="1">tblIndicators!C11</f>
        <v>IC03</v>
      </c>
      <c r="D19" t="str">
        <f ca="1">tblIndicators!D11</f>
        <v>IC00</v>
      </c>
      <c r="E19">
        <f ca="1">MATCH(C19,Weights!C$4:C$89,0)</f>
        <v>14</v>
      </c>
      <c r="F19">
        <f ca="1">INDEX(Weights!G$4:G$89,E19)</f>
        <v>1</v>
      </c>
      <c r="G19">
        <f t="shared" si="8"/>
        <v>0.16666666666666666</v>
      </c>
      <c r="H19" t="str">
        <f ca="1">tblIndicators!K11</f>
        <v xml:space="preserve">          Judicial system</v>
      </c>
      <c r="I19" s="19">
        <v>1</v>
      </c>
      <c r="J19" s="19">
        <v>1.3333333333333335</v>
      </c>
      <c r="K19" s="19">
        <v>0.33333333333333348</v>
      </c>
      <c r="L19" s="19">
        <v>1</v>
      </c>
      <c r="M19" s="19">
        <v>0.66666666666666652</v>
      </c>
      <c r="N19" s="19">
        <v>1.3333333333333335</v>
      </c>
      <c r="O19" s="19">
        <v>1.6666666666666665</v>
      </c>
      <c r="P19" s="19">
        <v>0.33333333333333348</v>
      </c>
      <c r="Q19" s="19">
        <v>0.33333333333333348</v>
      </c>
      <c r="R19" s="19">
        <v>3</v>
      </c>
      <c r="S19" s="19">
        <v>1.3333333333333335</v>
      </c>
      <c r="T19" s="19">
        <v>1.3333333333333335</v>
      </c>
      <c r="U19" s="19">
        <v>2.333333333333333</v>
      </c>
      <c r="V19" s="19">
        <v>1</v>
      </c>
      <c r="W19" s="19">
        <v>0</v>
      </c>
      <c r="X19" s="19">
        <v>0</v>
      </c>
      <c r="Y19" s="19">
        <v>1</v>
      </c>
      <c r="Z19" s="19">
        <v>0.66666666666666652</v>
      </c>
      <c r="AA19" s="19">
        <v>1.6666666666666665</v>
      </c>
      <c r="AB19" s="19">
        <v>1.6666666666666665</v>
      </c>
      <c r="AC19" s="19">
        <v>1</v>
      </c>
      <c r="AD19" s="19">
        <v>0.66666666666666652</v>
      </c>
      <c r="AE19" s="19">
        <v>0.33333333333333348</v>
      </c>
      <c r="AF19" s="19">
        <v>0.66666666666666652</v>
      </c>
      <c r="AG19" s="19">
        <v>1</v>
      </c>
      <c r="AH19" s="19">
        <v>2</v>
      </c>
      <c r="AI19" s="19">
        <v>0</v>
      </c>
      <c r="AJ19" s="19">
        <v>0</v>
      </c>
      <c r="AK19" s="19">
        <v>1</v>
      </c>
      <c r="AL19" s="19">
        <v>1.3333333333333335</v>
      </c>
      <c r="AM19" s="19">
        <v>2</v>
      </c>
      <c r="AN19" s="19">
        <v>1.3333333333333335</v>
      </c>
      <c r="AO19" s="19">
        <v>1.3333333333333335</v>
      </c>
      <c r="AP19" s="19">
        <v>0.33333333333333348</v>
      </c>
      <c r="AQ19" s="19">
        <v>0</v>
      </c>
      <c r="AR19" s="19">
        <v>0</v>
      </c>
      <c r="AS19" s="19">
        <v>0</v>
      </c>
      <c r="AT19" s="19">
        <v>1</v>
      </c>
      <c r="AU19" s="19">
        <v>2</v>
      </c>
      <c r="AV19" s="19">
        <v>1.3333333333333335</v>
      </c>
      <c r="AW19" s="19">
        <v>0.33333333333333298</v>
      </c>
      <c r="AX19" s="19">
        <v>1.3333333333333335</v>
      </c>
      <c r="AY19" s="19">
        <v>1.6666666666666665</v>
      </c>
      <c r="AZ19" s="19">
        <v>0.66666666666666652</v>
      </c>
      <c r="BA19" s="19">
        <v>1.6666666666666665</v>
      </c>
      <c r="BB19" s="19">
        <v>0</v>
      </c>
      <c r="BC19" s="19">
        <v>0.66666666666666652</v>
      </c>
      <c r="BD19" s="19">
        <v>0.66666666666666652</v>
      </c>
      <c r="BE19" s="19">
        <v>1.6666666666666665</v>
      </c>
      <c r="BF19" s="19">
        <v>1.3333333333333335</v>
      </c>
      <c r="BG19" s="19">
        <v>2</v>
      </c>
      <c r="BH19" s="19">
        <v>2</v>
      </c>
      <c r="BI19" s="19">
        <v>0.33333333333333348</v>
      </c>
      <c r="BJ19" s="19">
        <v>1.6666666666666665</v>
      </c>
      <c r="BK19" s="19">
        <v>1.3333333333333335</v>
      </c>
      <c r="BL19" s="20">
        <f ca="1">MMULT($I19:$BK19,tblCountries!M$3:M$57)/SUM(,tblCountries!M$3:M$57)</f>
        <v>1.0303030303030305</v>
      </c>
      <c r="BM19" s="20">
        <f ca="1">MMULT($I19:$BK19,tblCountries!N$3:N$57)/SUM(,tblCountries!N$3:N$57)</f>
        <v>0.8571428571428571</v>
      </c>
      <c r="BN19" s="20">
        <f ca="1">MMULT($I19:$BK19,tblCountries!O$3:O$57)/SUM(,tblCountries!O$3:O$57)</f>
        <v>1.2222222222222223</v>
      </c>
      <c r="BO19" s="20">
        <f ca="1">MMULT($I19:$BK19,tblCountries!P$3:P$57)/SUM(,tblCountries!P$3:P$57)</f>
        <v>0.77777777777777768</v>
      </c>
      <c r="BP19" s="20">
        <f ca="1">MMULT($I19:$BK19,tblCountries!Q$3:Q$57)/SUM(,tblCountries!Q$3:Q$57)</f>
        <v>1</v>
      </c>
      <c r="BQ19" s="20">
        <f ca="1">MMULT($I19:$BK19,tblCountries!R$3:R$57)/SUM(,tblCountries!R$3:R$57)</f>
        <v>1.2222222222222221</v>
      </c>
      <c r="BR19" s="20">
        <f ca="1">MMULT($I19:$BK19,tblCountries!S$3:S$57)/SUM(,tblCountries!S$3:S$57)</f>
        <v>0.86666666666666659</v>
      </c>
      <c r="BS19" s="20">
        <f ca="1">MMULT($I19:$BK19,tblCountries!T$3:T$57)/SUM(,tblCountries!T$3:T$57)</f>
        <v>1.0952380952380951</v>
      </c>
      <c r="BT19" s="20" t="e">
        <f ca="1">MMULT($I19:$BK19,tblCountries!U$3:U$57)/SUM(,tblCountries!U$3:U$57)</f>
        <v>#VALUE!</v>
      </c>
    </row>
    <row r="20" spans="1:72">
      <c r="A20">
        <f ca="1">tblIndicators!A12</f>
        <v>11</v>
      </c>
      <c r="B20">
        <f ca="1">tblIndicators!B12</f>
        <v>2</v>
      </c>
      <c r="C20" t="str">
        <f ca="1">tblIndicators!C12</f>
        <v>IC04</v>
      </c>
      <c r="D20" t="str">
        <f ca="1">tblIndicators!D12</f>
        <v>IC00</v>
      </c>
      <c r="E20">
        <f ca="1">MATCH(C20,Weights!C$4:C$89,0)</f>
        <v>15</v>
      </c>
      <c r="F20">
        <f ca="1">INDEX(Weights!G$4:G$89,E20)</f>
        <v>1</v>
      </c>
      <c r="G20">
        <f t="shared" si="8"/>
        <v>0.16666666666666666</v>
      </c>
      <c r="H20" t="str">
        <f ca="1">tblIndicators!K12</f>
        <v xml:space="preserve">          Accounting standards</v>
      </c>
      <c r="I20" s="19">
        <v>2</v>
      </c>
      <c r="J20" s="19">
        <v>3</v>
      </c>
      <c r="K20" s="19">
        <v>3</v>
      </c>
      <c r="L20" s="19">
        <v>2</v>
      </c>
      <c r="M20" s="19">
        <v>2</v>
      </c>
      <c r="N20" s="19">
        <v>3</v>
      </c>
      <c r="O20" s="19">
        <v>2</v>
      </c>
      <c r="P20" s="19">
        <v>3</v>
      </c>
      <c r="Q20" s="19">
        <v>1</v>
      </c>
      <c r="R20" s="19">
        <v>3</v>
      </c>
      <c r="S20" s="19">
        <v>0</v>
      </c>
      <c r="T20" s="19">
        <v>2</v>
      </c>
      <c r="U20" s="19">
        <v>2</v>
      </c>
      <c r="V20" s="19">
        <v>2</v>
      </c>
      <c r="W20" s="19">
        <v>1</v>
      </c>
      <c r="X20" s="19">
        <v>2</v>
      </c>
      <c r="Y20" s="19">
        <v>3</v>
      </c>
      <c r="Z20" s="19">
        <v>1</v>
      </c>
      <c r="AA20" s="19">
        <v>3</v>
      </c>
      <c r="AB20" s="19">
        <v>2</v>
      </c>
      <c r="AC20" s="19">
        <v>3</v>
      </c>
      <c r="AD20" s="19">
        <v>1</v>
      </c>
      <c r="AE20" s="19">
        <v>2</v>
      </c>
      <c r="AF20" s="19">
        <v>2</v>
      </c>
      <c r="AG20" s="19">
        <v>1</v>
      </c>
      <c r="AH20" s="19">
        <v>3</v>
      </c>
      <c r="AI20" s="19">
        <v>3</v>
      </c>
      <c r="AJ20" s="19">
        <v>2</v>
      </c>
      <c r="AK20" s="19">
        <v>2</v>
      </c>
      <c r="AL20" s="19">
        <v>1</v>
      </c>
      <c r="AM20" s="19">
        <v>3</v>
      </c>
      <c r="AN20" s="19">
        <v>2</v>
      </c>
      <c r="AO20" s="19">
        <v>3</v>
      </c>
      <c r="AP20" s="19">
        <v>1</v>
      </c>
      <c r="AQ20" s="19">
        <v>1</v>
      </c>
      <c r="AR20" s="19">
        <v>3</v>
      </c>
      <c r="AS20" s="19">
        <v>1</v>
      </c>
      <c r="AT20" s="19">
        <v>3</v>
      </c>
      <c r="AU20" s="19">
        <v>3</v>
      </c>
      <c r="AV20" s="19">
        <v>1</v>
      </c>
      <c r="AW20" s="19">
        <v>3</v>
      </c>
      <c r="AX20" s="19">
        <v>2</v>
      </c>
      <c r="AY20" s="19">
        <v>1</v>
      </c>
      <c r="AZ20" s="19">
        <v>2</v>
      </c>
      <c r="BA20" s="19">
        <v>1</v>
      </c>
      <c r="BB20" s="19">
        <v>2</v>
      </c>
      <c r="BC20" s="19">
        <v>2</v>
      </c>
      <c r="BD20" s="19">
        <v>0</v>
      </c>
      <c r="BE20" s="19">
        <v>3</v>
      </c>
      <c r="BF20" s="19">
        <v>4</v>
      </c>
      <c r="BG20" s="19">
        <v>3</v>
      </c>
      <c r="BH20" s="19">
        <v>2</v>
      </c>
      <c r="BI20" s="19">
        <v>3</v>
      </c>
      <c r="BJ20" s="19">
        <v>0</v>
      </c>
      <c r="BK20" s="19">
        <v>2</v>
      </c>
      <c r="BL20" s="20">
        <f ca="1">MMULT($I20:$BK20,tblCountries!M$3:M$57)/SUM(,tblCountries!M$3:M$57)</f>
        <v>2.0545454545454547</v>
      </c>
      <c r="BM20" s="20">
        <f ca="1">MMULT($I20:$BK20,tblCountries!N$3:N$57)/SUM(,tblCountries!N$3:N$57)</f>
        <v>2.8571428571428572</v>
      </c>
      <c r="BN20" s="20">
        <f ca="1">MMULT($I20:$BK20,tblCountries!O$3:O$57)/SUM(,tblCountries!O$3:O$57)</f>
        <v>2.3333333333333335</v>
      </c>
      <c r="BO20" s="20">
        <f ca="1">MMULT($I20:$BK20,tblCountries!P$3:P$57)/SUM(,tblCountries!P$3:P$57)</f>
        <v>1.5833333333333333</v>
      </c>
      <c r="BP20" s="20">
        <f ca="1">MMULT($I20:$BK20,tblCountries!Q$3:Q$57)/SUM(,tblCountries!Q$3:Q$57)</f>
        <v>1.4166666666666667</v>
      </c>
      <c r="BQ20" s="20">
        <f ca="1">MMULT($I20:$BK20,tblCountries!R$3:R$57)/SUM(,tblCountries!R$3:R$57)</f>
        <v>2.3809523809523809</v>
      </c>
      <c r="BR20" s="20">
        <f ca="1">MMULT($I20:$BK20,tblCountries!S$3:S$57)/SUM(,tblCountries!S$3:S$57)</f>
        <v>1.8</v>
      </c>
      <c r="BS20" s="20">
        <f ca="1">MMULT($I20:$BK20,tblCountries!T$3:T$57)/SUM(,tblCountries!T$3:T$57)</f>
        <v>1.1428571428571428</v>
      </c>
      <c r="BT20" s="20" t="e">
        <f ca="1">MMULT($I20:$BK20,tblCountries!U$3:U$57)/SUM(,tblCountries!U$3:U$57)</f>
        <v>#VALUE!</v>
      </c>
    </row>
    <row r="21" spans="1:72">
      <c r="A21">
        <f ca="1">tblIndicators!A13</f>
        <v>12</v>
      </c>
      <c r="B21">
        <f ca="1">tblIndicators!B13</f>
        <v>2</v>
      </c>
      <c r="C21" t="str">
        <f ca="1">tblIndicators!C13</f>
        <v>IC05</v>
      </c>
      <c r="D21" t="str">
        <f ca="1">tblIndicators!D13</f>
        <v>IC00</v>
      </c>
      <c r="E21">
        <f ca="1">MATCH(C21,Weights!C$4:C$89,0)</f>
        <v>16</v>
      </c>
      <c r="F21">
        <f ca="1">INDEX(Weights!G$4:G$89,E21)</f>
        <v>1</v>
      </c>
      <c r="G21">
        <f t="shared" si="8"/>
        <v>0.16666666666666666</v>
      </c>
      <c r="H21" t="str">
        <f ca="1">tblIndicators!K13</f>
        <v xml:space="preserve">          Governance standards</v>
      </c>
      <c r="I21" s="19">
        <v>1</v>
      </c>
      <c r="J21" s="19">
        <v>3</v>
      </c>
      <c r="K21" s="19">
        <v>1</v>
      </c>
      <c r="L21" s="19">
        <v>1</v>
      </c>
      <c r="M21" s="19">
        <v>3</v>
      </c>
      <c r="N21" s="19">
        <v>4</v>
      </c>
      <c r="O21" s="19">
        <v>2</v>
      </c>
      <c r="P21" s="19">
        <v>3</v>
      </c>
      <c r="Q21" s="19">
        <v>1</v>
      </c>
      <c r="R21" s="19">
        <v>3</v>
      </c>
      <c r="S21" s="19">
        <v>1</v>
      </c>
      <c r="T21" s="19">
        <v>3</v>
      </c>
      <c r="U21" s="19">
        <v>2</v>
      </c>
      <c r="V21" s="19">
        <v>1</v>
      </c>
      <c r="W21" s="19">
        <v>1</v>
      </c>
      <c r="X21" s="19">
        <v>1</v>
      </c>
      <c r="Y21" s="19">
        <v>1</v>
      </c>
      <c r="Z21" s="19">
        <v>1</v>
      </c>
      <c r="AA21" s="19">
        <v>2</v>
      </c>
      <c r="AB21" s="19">
        <v>2</v>
      </c>
      <c r="AC21" s="19">
        <v>1</v>
      </c>
      <c r="AD21" s="19">
        <v>1</v>
      </c>
      <c r="AE21" s="19">
        <v>1</v>
      </c>
      <c r="AF21" s="19">
        <v>2</v>
      </c>
      <c r="AG21" s="19">
        <v>1</v>
      </c>
      <c r="AH21" s="19">
        <v>2</v>
      </c>
      <c r="AI21" s="19">
        <v>3</v>
      </c>
      <c r="AJ21" s="19">
        <v>2</v>
      </c>
      <c r="AK21" s="19">
        <v>1</v>
      </c>
      <c r="AL21" s="19">
        <v>2</v>
      </c>
      <c r="AM21" s="19">
        <v>2</v>
      </c>
      <c r="AN21" s="19">
        <v>2</v>
      </c>
      <c r="AO21" s="19">
        <v>3</v>
      </c>
      <c r="AP21" s="19">
        <v>2</v>
      </c>
      <c r="AQ21" s="19">
        <v>1</v>
      </c>
      <c r="AR21" s="19">
        <v>2</v>
      </c>
      <c r="AS21" s="19">
        <v>2</v>
      </c>
      <c r="AT21" s="19">
        <v>2</v>
      </c>
      <c r="AU21" s="19">
        <v>2</v>
      </c>
      <c r="AV21" s="19">
        <v>2</v>
      </c>
      <c r="AW21" s="19">
        <v>3</v>
      </c>
      <c r="AX21" s="19">
        <v>3</v>
      </c>
      <c r="AY21" s="19">
        <v>1</v>
      </c>
      <c r="AZ21" s="19">
        <v>2</v>
      </c>
      <c r="BA21" s="19">
        <v>1</v>
      </c>
      <c r="BB21" s="19">
        <v>2</v>
      </c>
      <c r="BC21" s="19">
        <v>2</v>
      </c>
      <c r="BD21" s="19">
        <v>2</v>
      </c>
      <c r="BE21" s="19">
        <v>2</v>
      </c>
      <c r="BF21" s="19">
        <v>4</v>
      </c>
      <c r="BG21" s="19">
        <v>2</v>
      </c>
      <c r="BH21" s="19">
        <v>2</v>
      </c>
      <c r="BI21" s="19">
        <v>1</v>
      </c>
      <c r="BJ21" s="19">
        <v>1</v>
      </c>
      <c r="BK21" s="19">
        <v>1</v>
      </c>
      <c r="BL21" s="20">
        <f ca="1">MMULT($I21:$BK21,tblCountries!M$3:M$57)/SUM(,tblCountries!M$3:M$57)</f>
        <v>1.8545454545454545</v>
      </c>
      <c r="BM21" s="20">
        <f ca="1">MMULT($I21:$BK21,tblCountries!N$3:N$57)/SUM(,tblCountries!N$3:N$57)</f>
        <v>2.5714285714285716</v>
      </c>
      <c r="BN21" s="20">
        <f ca="1">MMULT($I21:$BK21,tblCountries!O$3:O$57)/SUM(,tblCountries!O$3:O$57)</f>
        <v>1.6666666666666667</v>
      </c>
      <c r="BO21" s="20">
        <f ca="1">MMULT($I21:$BK21,tblCountries!P$3:P$57)/SUM(,tblCountries!P$3:P$57)</f>
        <v>1.75</v>
      </c>
      <c r="BP21" s="20">
        <f ca="1">MMULT($I21:$BK21,tblCountries!Q$3:Q$57)/SUM(,tblCountries!Q$3:Q$57)</f>
        <v>1.6666666666666667</v>
      </c>
      <c r="BQ21" s="20">
        <f ca="1">MMULT($I21:$BK21,tblCountries!R$3:R$57)/SUM(,tblCountries!R$3:R$57)</f>
        <v>1.8095238095238095</v>
      </c>
      <c r="BR21" s="20">
        <f ca="1">MMULT($I21:$BK21,tblCountries!S$3:S$57)/SUM(,tblCountries!S$3:S$57)</f>
        <v>1.4</v>
      </c>
      <c r="BS21" s="20">
        <f ca="1">MMULT($I21:$BK21,tblCountries!T$3:T$57)/SUM(,tblCountries!T$3:T$57)</f>
        <v>1.8571428571428572</v>
      </c>
      <c r="BT21" s="20" t="e">
        <f ca="1">MMULT($I21:$BK21,tblCountries!U$3:U$57)/SUM(,tblCountries!U$3:U$57)</f>
        <v>#VALUE!</v>
      </c>
    </row>
    <row r="22" spans="1:72">
      <c r="A22">
        <f ca="1">tblIndicators!A14</f>
        <v>13</v>
      </c>
      <c r="B22">
        <f ca="1">tblIndicators!B14</f>
        <v>2</v>
      </c>
      <c r="C22" t="str">
        <f ca="1">tblIndicators!C14</f>
        <v>IC06</v>
      </c>
      <c r="D22" t="str">
        <f ca="1">tblIndicators!D14</f>
        <v>IC00</v>
      </c>
      <c r="E22">
        <f ca="1">MATCH(C22,Weights!C$4:C$89,0)</f>
        <v>17</v>
      </c>
      <c r="F22">
        <f ca="1">INDEX(Weights!G$4:G$89,E22)</f>
        <v>1</v>
      </c>
      <c r="G22">
        <f t="shared" si="8"/>
        <v>0.16666666666666666</v>
      </c>
      <c r="H22" t="str">
        <f ca="1">tblIndicators!K14</f>
        <v xml:space="preserve">          MFI transparency</v>
      </c>
      <c r="I22" s="19">
        <v>1</v>
      </c>
      <c r="J22" s="19">
        <v>3</v>
      </c>
      <c r="K22" s="19">
        <v>2</v>
      </c>
      <c r="L22" s="19">
        <v>2</v>
      </c>
      <c r="M22" s="19">
        <v>3</v>
      </c>
      <c r="N22" s="19">
        <v>4</v>
      </c>
      <c r="O22" s="19">
        <v>2</v>
      </c>
      <c r="P22" s="19">
        <v>3</v>
      </c>
      <c r="Q22" s="19">
        <v>1</v>
      </c>
      <c r="R22" s="19">
        <v>2</v>
      </c>
      <c r="S22" s="19">
        <v>1</v>
      </c>
      <c r="T22" s="19">
        <v>2</v>
      </c>
      <c r="U22" s="19">
        <v>2</v>
      </c>
      <c r="V22" s="19">
        <v>2</v>
      </c>
      <c r="W22" s="19">
        <v>2</v>
      </c>
      <c r="X22" s="19">
        <v>2</v>
      </c>
      <c r="Y22" s="19">
        <v>2</v>
      </c>
      <c r="Z22" s="19">
        <v>3</v>
      </c>
      <c r="AA22" s="19">
        <v>2</v>
      </c>
      <c r="AB22" s="19">
        <v>3</v>
      </c>
      <c r="AC22" s="19">
        <v>2</v>
      </c>
      <c r="AD22" s="19">
        <v>2</v>
      </c>
      <c r="AE22" s="19">
        <v>2</v>
      </c>
      <c r="AF22" s="19">
        <v>3</v>
      </c>
      <c r="AG22" s="19">
        <v>2</v>
      </c>
      <c r="AH22" s="19">
        <v>1</v>
      </c>
      <c r="AI22" s="19">
        <v>3</v>
      </c>
      <c r="AJ22" s="19">
        <v>2</v>
      </c>
      <c r="AK22" s="19">
        <v>2</v>
      </c>
      <c r="AL22" s="19">
        <v>1</v>
      </c>
      <c r="AM22" s="19">
        <v>2</v>
      </c>
      <c r="AN22" s="19">
        <v>2</v>
      </c>
      <c r="AO22" s="19">
        <v>3</v>
      </c>
      <c r="AP22" s="19">
        <v>2</v>
      </c>
      <c r="AQ22" s="19">
        <v>1</v>
      </c>
      <c r="AR22" s="19">
        <v>3</v>
      </c>
      <c r="AS22" s="19">
        <v>2</v>
      </c>
      <c r="AT22" s="19">
        <v>3</v>
      </c>
      <c r="AU22" s="19">
        <v>2</v>
      </c>
      <c r="AV22" s="19">
        <v>2</v>
      </c>
      <c r="AW22" s="19">
        <v>3</v>
      </c>
      <c r="AX22" s="19">
        <v>2</v>
      </c>
      <c r="AY22" s="19">
        <v>1</v>
      </c>
      <c r="AZ22" s="19">
        <v>2</v>
      </c>
      <c r="BA22" s="19">
        <v>2</v>
      </c>
      <c r="BB22" s="19">
        <v>2</v>
      </c>
      <c r="BC22" s="19">
        <v>1</v>
      </c>
      <c r="BD22" s="19">
        <v>1</v>
      </c>
      <c r="BE22" s="19">
        <v>2</v>
      </c>
      <c r="BF22" s="19">
        <v>3</v>
      </c>
      <c r="BG22" s="19">
        <v>3</v>
      </c>
      <c r="BH22" s="19">
        <v>1</v>
      </c>
      <c r="BI22" s="19">
        <v>2</v>
      </c>
      <c r="BJ22" s="19">
        <v>1</v>
      </c>
      <c r="BK22" s="19">
        <v>2</v>
      </c>
      <c r="BL22" s="20">
        <f ca="1">MMULT($I22:$BK22,tblCountries!M$3:M$57)/SUM(,tblCountries!M$3:M$57)</f>
        <v>2.0727272727272728</v>
      </c>
      <c r="BM22" s="20">
        <f ca="1">MMULT($I22:$BK22,tblCountries!N$3:N$57)/SUM(,tblCountries!N$3:N$57)</f>
        <v>2.5714285714285716</v>
      </c>
      <c r="BN22" s="20">
        <f ca="1">MMULT($I22:$BK22,tblCountries!O$3:O$57)/SUM(,tblCountries!O$3:O$57)</f>
        <v>2.3333333333333335</v>
      </c>
      <c r="BO22" s="20">
        <f ca="1">MMULT($I22:$BK22,tblCountries!P$3:P$57)/SUM(,tblCountries!P$3:P$57)</f>
        <v>2</v>
      </c>
      <c r="BP22" s="20">
        <f ca="1">MMULT($I22:$BK22,tblCountries!Q$3:Q$57)/SUM(,tblCountries!Q$3:Q$57)</f>
        <v>1.9166666666666667</v>
      </c>
      <c r="BQ22" s="20">
        <f ca="1">MMULT($I22:$BK22,tblCountries!R$3:R$57)/SUM(,tblCountries!R$3:R$57)</f>
        <v>2</v>
      </c>
      <c r="BR22" s="20">
        <f ca="1">MMULT($I22:$BK22,tblCountries!S$3:S$57)/SUM(,tblCountries!S$3:S$57)</f>
        <v>2.2000000000000002</v>
      </c>
      <c r="BS22" s="20">
        <f ca="1">MMULT($I22:$BK22,tblCountries!T$3:T$57)/SUM(,tblCountries!T$3:T$57)</f>
        <v>1.7142857142857142</v>
      </c>
      <c r="BT22" s="20" t="e">
        <f ca="1">MMULT($I22:$BK22,tblCountries!U$3:U$57)/SUM(,tblCountries!U$3:U$57)</f>
        <v>#VALUE!</v>
      </c>
    </row>
    <row r="23" spans="1:72">
      <c r="A23">
        <f ca="1">tblIndicators!A15</f>
        <v>14</v>
      </c>
      <c r="B23">
        <f ca="1">tblIndicators!B15</f>
        <v>1</v>
      </c>
      <c r="C23" t="str">
        <f ca="1">tblIndicators!C15</f>
        <v>ID00</v>
      </c>
      <c r="D23" t="str">
        <f ca="1">tblIndicators!D15</f>
        <v>OVERALL</v>
      </c>
      <c r="E23">
        <f ca="1">MATCH(C23,Weights!C$4:C$89,0)</f>
        <v>3</v>
      </c>
      <c r="F23">
        <f ca="1">INDEX(Weights!G$4:G$89,E23)</f>
        <v>4</v>
      </c>
      <c r="G23">
        <f t="shared" si="8"/>
        <v>0.4</v>
      </c>
      <c r="H23" t="str">
        <f ca="1">tblIndicators!K15</f>
        <v xml:space="preserve">     Institutional Development</v>
      </c>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20"/>
      <c r="BM23" s="20"/>
      <c r="BN23" s="20"/>
      <c r="BO23" s="20"/>
      <c r="BP23" s="20"/>
      <c r="BQ23" s="20"/>
      <c r="BR23" s="20"/>
      <c r="BS23" s="20"/>
      <c r="BT23" s="20"/>
    </row>
    <row r="24" spans="1:72">
      <c r="A24">
        <f ca="1">tblIndicators!A16</f>
        <v>15</v>
      </c>
      <c r="B24">
        <f ca="1">tblIndicators!B16</f>
        <v>2</v>
      </c>
      <c r="C24" t="str">
        <f ca="1">tblIndicators!C16</f>
        <v>ID01</v>
      </c>
      <c r="D24" t="str">
        <f ca="1">tblIndicators!D16</f>
        <v>ID00</v>
      </c>
      <c r="E24">
        <f ca="1">MATCH(C24,Weights!C$4:C$89,0)</f>
        <v>19</v>
      </c>
      <c r="F24">
        <f ca="1">INDEX(Weights!G$4:G$89,E24)</f>
        <v>1</v>
      </c>
      <c r="G24">
        <f t="shared" si="8"/>
        <v>0.33333333333333331</v>
      </c>
      <c r="H24" t="str">
        <f ca="1">tblIndicators!K16</f>
        <v xml:space="preserve">          Range of MFI Services</v>
      </c>
      <c r="I24" s="19">
        <v>1</v>
      </c>
      <c r="J24" s="19">
        <v>0</v>
      </c>
      <c r="K24" s="19">
        <v>0</v>
      </c>
      <c r="L24" s="19">
        <v>3</v>
      </c>
      <c r="M24" s="19">
        <v>4</v>
      </c>
      <c r="N24" s="19">
        <v>0</v>
      </c>
      <c r="O24" s="19">
        <v>2</v>
      </c>
      <c r="P24" s="19">
        <v>1</v>
      </c>
      <c r="Q24" s="19">
        <v>2</v>
      </c>
      <c r="R24" s="19">
        <v>2</v>
      </c>
      <c r="S24" s="19">
        <v>1</v>
      </c>
      <c r="T24" s="19">
        <v>2</v>
      </c>
      <c r="U24" s="19">
        <v>2</v>
      </c>
      <c r="V24" s="19">
        <v>2</v>
      </c>
      <c r="W24" s="19">
        <v>2</v>
      </c>
      <c r="X24" s="188">
        <v>2</v>
      </c>
      <c r="Y24" s="19">
        <v>2</v>
      </c>
      <c r="Z24" s="19">
        <v>2</v>
      </c>
      <c r="AA24" s="19">
        <v>1</v>
      </c>
      <c r="AB24" s="19">
        <v>3</v>
      </c>
      <c r="AC24" s="19">
        <v>2</v>
      </c>
      <c r="AD24" s="19">
        <v>2</v>
      </c>
      <c r="AE24" s="19">
        <v>2</v>
      </c>
      <c r="AF24" s="19">
        <v>3</v>
      </c>
      <c r="AG24" s="19">
        <v>1</v>
      </c>
      <c r="AH24" s="19">
        <v>1</v>
      </c>
      <c r="AI24" s="188">
        <v>2</v>
      </c>
      <c r="AJ24" s="188">
        <v>2</v>
      </c>
      <c r="AK24" s="19">
        <v>1</v>
      </c>
      <c r="AL24" s="188">
        <v>1</v>
      </c>
      <c r="AM24" s="19">
        <v>2</v>
      </c>
      <c r="AN24" s="19">
        <v>1</v>
      </c>
      <c r="AO24" s="19">
        <v>0</v>
      </c>
      <c r="AP24" s="19">
        <v>1</v>
      </c>
      <c r="AQ24" s="19">
        <v>2</v>
      </c>
      <c r="AR24" s="188">
        <v>2</v>
      </c>
      <c r="AS24" s="19">
        <v>1</v>
      </c>
      <c r="AT24" s="19">
        <v>2</v>
      </c>
      <c r="AU24" s="19">
        <v>2</v>
      </c>
      <c r="AV24" s="19">
        <v>2</v>
      </c>
      <c r="AW24" s="19">
        <v>3</v>
      </c>
      <c r="AX24" s="19">
        <v>2</v>
      </c>
      <c r="AY24" s="19">
        <v>1</v>
      </c>
      <c r="AZ24" s="19">
        <v>2</v>
      </c>
      <c r="BA24" s="19">
        <v>2</v>
      </c>
      <c r="BB24" s="19">
        <v>2</v>
      </c>
      <c r="BC24" s="189">
        <v>2</v>
      </c>
      <c r="BD24" s="19">
        <v>1</v>
      </c>
      <c r="BE24" s="19">
        <v>0</v>
      </c>
      <c r="BF24" s="19">
        <v>0</v>
      </c>
      <c r="BG24" s="19">
        <v>3</v>
      </c>
      <c r="BH24" s="19">
        <v>1</v>
      </c>
      <c r="BI24" s="19">
        <v>2</v>
      </c>
      <c r="BJ24" s="19">
        <v>1</v>
      </c>
      <c r="BK24" s="19">
        <v>2</v>
      </c>
      <c r="BL24" s="20">
        <f ca="1">MMULT($I24:$BK24,tblCountries!M$3:M$57)/SUM(,tblCountries!M$3:M$57)</f>
        <v>1.6363636363636365</v>
      </c>
      <c r="BM24" s="20">
        <f ca="1">MMULT($I24:$BK24,tblCountries!N$3:N$57)/SUM(,tblCountries!N$3:N$57)</f>
        <v>0.7142857142857143</v>
      </c>
      <c r="BN24" s="20">
        <f ca="1">MMULT($I24:$BK24,tblCountries!O$3:O$57)/SUM(,tblCountries!O$3:O$57)</f>
        <v>1</v>
      </c>
      <c r="BO24" s="20">
        <f ca="1">MMULT($I24:$BK24,tblCountries!P$3:P$57)/SUM(,tblCountries!P$3:P$57)</f>
        <v>1.8333333333333333</v>
      </c>
      <c r="BP24" s="20">
        <f ca="1">MMULT($I24:$BK24,tblCountries!Q$3:Q$57)/SUM(,tblCountries!Q$3:Q$57)</f>
        <v>1.6666666666666667</v>
      </c>
      <c r="BQ24" s="20">
        <f ca="1">MMULT($I24:$BK24,tblCountries!R$3:R$57)/SUM(,tblCountries!R$3:R$57)</f>
        <v>1.9047619047619047</v>
      </c>
      <c r="BR24" s="20">
        <f ca="1">MMULT($I24:$BK24,tblCountries!S$3:S$57)/SUM(,tblCountries!S$3:S$57)</f>
        <v>2.4</v>
      </c>
      <c r="BS24" s="20">
        <f ca="1">MMULT($I24:$BK24,tblCountries!T$3:T$57)/SUM(,tblCountries!T$3:T$57)</f>
        <v>1.1428571428571428</v>
      </c>
      <c r="BT24" s="20" t="e">
        <f ca="1">MMULT($I24:$BK24,tblCountries!U$3:U$57)/SUM(,tblCountries!U$3:U$57)</f>
        <v>#VALUE!</v>
      </c>
    </row>
    <row r="25" spans="1:72">
      <c r="A25">
        <f ca="1">tblIndicators!A17</f>
        <v>16</v>
      </c>
      <c r="B25">
        <f ca="1">tblIndicators!B17</f>
        <v>2</v>
      </c>
      <c r="C25" t="str">
        <f ca="1">tblIndicators!C17</f>
        <v>ID02</v>
      </c>
      <c r="D25" t="str">
        <f ca="1">tblIndicators!D17</f>
        <v>ID00</v>
      </c>
      <c r="E25">
        <f ca="1">MATCH(C25,Weights!C$4:C$89,0)</f>
        <v>20</v>
      </c>
      <c r="F25">
        <f ca="1">INDEX(Weights!G$4:G$89,E25)</f>
        <v>1</v>
      </c>
      <c r="G25">
        <f t="shared" si="8"/>
        <v>0.33333333333333331</v>
      </c>
      <c r="H25" t="str">
        <f ca="1">tblIndicators!K17</f>
        <v xml:space="preserve">          Credit bureaus</v>
      </c>
      <c r="I25" s="19">
        <v>2</v>
      </c>
      <c r="J25" s="19">
        <v>4</v>
      </c>
      <c r="K25" s="19">
        <v>1</v>
      </c>
      <c r="L25" s="19">
        <v>0</v>
      </c>
      <c r="M25" s="19">
        <v>3</v>
      </c>
      <c r="N25" s="19">
        <v>1</v>
      </c>
      <c r="O25" s="19">
        <v>2</v>
      </c>
      <c r="P25" s="19">
        <v>0</v>
      </c>
      <c r="Q25" s="19">
        <v>0</v>
      </c>
      <c r="R25" s="19">
        <v>2</v>
      </c>
      <c r="S25" s="19">
        <v>2</v>
      </c>
      <c r="T25" s="19">
        <v>3</v>
      </c>
      <c r="U25" s="19">
        <v>2</v>
      </c>
      <c r="V25" s="19">
        <v>3</v>
      </c>
      <c r="W25" s="19">
        <v>0</v>
      </c>
      <c r="X25" s="19">
        <v>4</v>
      </c>
      <c r="Y25" s="19">
        <v>3</v>
      </c>
      <c r="Z25" s="19">
        <v>0</v>
      </c>
      <c r="AA25" s="19">
        <v>2</v>
      </c>
      <c r="AB25" s="19">
        <v>1</v>
      </c>
      <c r="AC25" s="19">
        <v>2</v>
      </c>
      <c r="AD25" s="19">
        <v>0</v>
      </c>
      <c r="AE25" s="19">
        <v>2</v>
      </c>
      <c r="AF25" s="19">
        <v>2</v>
      </c>
      <c r="AG25" s="19">
        <v>1</v>
      </c>
      <c r="AH25" s="19">
        <v>0</v>
      </c>
      <c r="AI25" s="19">
        <v>1</v>
      </c>
      <c r="AJ25" s="19">
        <v>2</v>
      </c>
      <c r="AK25" s="19">
        <v>1</v>
      </c>
      <c r="AL25" s="188">
        <v>0</v>
      </c>
      <c r="AM25" s="19">
        <v>2</v>
      </c>
      <c r="AN25" s="19">
        <v>0</v>
      </c>
      <c r="AO25" s="19">
        <v>1</v>
      </c>
      <c r="AP25" s="19">
        <v>2</v>
      </c>
      <c r="AQ25" s="19">
        <v>0</v>
      </c>
      <c r="AR25" s="19">
        <v>3</v>
      </c>
      <c r="AS25" s="19">
        <v>1</v>
      </c>
      <c r="AT25" s="19">
        <v>2</v>
      </c>
      <c r="AU25" s="19">
        <v>3</v>
      </c>
      <c r="AV25" s="19">
        <v>2</v>
      </c>
      <c r="AW25" s="19">
        <v>3</v>
      </c>
      <c r="AX25" s="19">
        <v>1</v>
      </c>
      <c r="AY25" s="188">
        <v>1</v>
      </c>
      <c r="AZ25" s="19">
        <v>0</v>
      </c>
      <c r="BA25" s="19">
        <v>2</v>
      </c>
      <c r="BB25" s="19">
        <v>0</v>
      </c>
      <c r="BC25" s="19">
        <v>0</v>
      </c>
      <c r="BD25" s="19">
        <v>2</v>
      </c>
      <c r="BE25" s="19">
        <v>2</v>
      </c>
      <c r="BF25" s="19">
        <v>2</v>
      </c>
      <c r="BG25" s="19">
        <v>1</v>
      </c>
      <c r="BH25" s="19">
        <v>1</v>
      </c>
      <c r="BI25" s="19">
        <v>0</v>
      </c>
      <c r="BJ25" s="19">
        <v>0</v>
      </c>
      <c r="BK25" s="19">
        <v>0</v>
      </c>
      <c r="BL25" s="20">
        <f ca="1">MMULT($I25:$BK25,tblCountries!M$3:M$57)/SUM(,tblCountries!M$3:M$57)</f>
        <v>1.4</v>
      </c>
      <c r="BM25" s="20">
        <f ca="1">MMULT($I25:$BK25,tblCountries!N$3:N$57)/SUM(,tblCountries!N$3:N$57)</f>
        <v>1.7142857142857142</v>
      </c>
      <c r="BN25" s="20">
        <f ca="1">MMULT($I25:$BK25,tblCountries!O$3:O$57)/SUM(,tblCountries!O$3:O$57)</f>
        <v>0.66666666666666663</v>
      </c>
      <c r="BO25" s="20">
        <f ca="1">MMULT($I25:$BK25,tblCountries!P$3:P$57)/SUM(,tblCountries!P$3:P$57)</f>
        <v>0.58333333333333337</v>
      </c>
      <c r="BP25" s="20">
        <f ca="1">MMULT($I25:$BK25,tblCountries!Q$3:Q$57)/SUM(,tblCountries!Q$3:Q$57)</f>
        <v>1</v>
      </c>
      <c r="BQ25" s="20">
        <f ca="1">MMULT($I25:$BK25,tblCountries!R$3:R$57)/SUM(,tblCountries!R$3:R$57)</f>
        <v>2.0952380952380953</v>
      </c>
      <c r="BR25" s="20">
        <f ca="1">MMULT($I25:$BK25,tblCountries!S$3:S$57)/SUM(,tblCountries!S$3:S$57)</f>
        <v>1.2</v>
      </c>
      <c r="BS25" s="20">
        <f ca="1">MMULT($I25:$BK25,tblCountries!T$3:T$57)/SUM(,tblCountries!T$3:T$57)</f>
        <v>0.8571428571428571</v>
      </c>
      <c r="BT25" s="20" t="e">
        <f ca="1">MMULT($I25:$BK25,tblCountries!U$3:U$57)/SUM(,tblCountries!U$3:U$57)</f>
        <v>#VALUE!</v>
      </c>
    </row>
    <row r="26" spans="1:72">
      <c r="A26">
        <f ca="1">tblIndicators!A18</f>
        <v>17</v>
      </c>
      <c r="B26">
        <f ca="1">tblIndicators!B18</f>
        <v>2</v>
      </c>
      <c r="C26" t="str">
        <f ca="1">tblIndicators!C18</f>
        <v>ID03</v>
      </c>
      <c r="D26" t="str">
        <f ca="1">tblIndicators!D18</f>
        <v>ID00</v>
      </c>
      <c r="E26">
        <f ca="1">MATCH(C26,Weights!C$4:C$89,0)</f>
        <v>21</v>
      </c>
      <c r="F26">
        <f ca="1">INDEX(Weights!G$4:G$89,E26)</f>
        <v>1</v>
      </c>
      <c r="G26">
        <f t="shared" si="8"/>
        <v>0.33333333333333331</v>
      </c>
      <c r="H26" t="str">
        <f ca="1">tblIndicators!K18</f>
        <v xml:space="preserve">          Level of competition</v>
      </c>
      <c r="I26" s="19">
        <v>1</v>
      </c>
      <c r="J26" s="19">
        <v>0</v>
      </c>
      <c r="K26" s="19">
        <v>1</v>
      </c>
      <c r="L26" s="19">
        <v>2</v>
      </c>
      <c r="M26" s="19">
        <v>2</v>
      </c>
      <c r="N26" s="19">
        <v>2</v>
      </c>
      <c r="O26" s="19">
        <v>0</v>
      </c>
      <c r="P26" s="19">
        <v>2</v>
      </c>
      <c r="Q26" s="19">
        <v>0</v>
      </c>
      <c r="R26" s="19">
        <v>0</v>
      </c>
      <c r="S26" s="19">
        <v>0</v>
      </c>
      <c r="T26" s="19">
        <v>2</v>
      </c>
      <c r="U26" s="19">
        <v>0</v>
      </c>
      <c r="V26" s="19">
        <v>1</v>
      </c>
      <c r="W26" s="19">
        <v>0</v>
      </c>
      <c r="X26" s="19">
        <v>2</v>
      </c>
      <c r="Y26" s="19">
        <v>2</v>
      </c>
      <c r="Z26" s="19">
        <v>0</v>
      </c>
      <c r="AA26" s="19">
        <v>1</v>
      </c>
      <c r="AB26" s="19">
        <v>2</v>
      </c>
      <c r="AC26" s="19">
        <v>3</v>
      </c>
      <c r="AD26" s="19">
        <v>1</v>
      </c>
      <c r="AE26" s="19">
        <v>3</v>
      </c>
      <c r="AF26" s="19">
        <v>3</v>
      </c>
      <c r="AG26" s="19">
        <v>1</v>
      </c>
      <c r="AH26" s="19">
        <v>0</v>
      </c>
      <c r="AI26" s="19">
        <v>1</v>
      </c>
      <c r="AJ26" s="19">
        <v>1</v>
      </c>
      <c r="AK26" s="19">
        <v>0</v>
      </c>
      <c r="AL26" s="19">
        <v>1</v>
      </c>
      <c r="AM26" s="19">
        <v>0</v>
      </c>
      <c r="AN26" s="19">
        <v>0</v>
      </c>
      <c r="AO26" s="19">
        <v>0</v>
      </c>
      <c r="AP26" s="19">
        <v>0</v>
      </c>
      <c r="AQ26" s="19">
        <v>2</v>
      </c>
      <c r="AR26" s="19">
        <v>3</v>
      </c>
      <c r="AS26" s="19">
        <v>1</v>
      </c>
      <c r="AT26" s="19">
        <v>1</v>
      </c>
      <c r="AU26" s="19">
        <v>0</v>
      </c>
      <c r="AV26" s="19">
        <v>1</v>
      </c>
      <c r="AW26" s="19">
        <v>3</v>
      </c>
      <c r="AX26" s="19">
        <v>4</v>
      </c>
      <c r="AY26" s="19">
        <v>1</v>
      </c>
      <c r="AZ26" s="19">
        <v>0</v>
      </c>
      <c r="BA26" s="19">
        <v>2</v>
      </c>
      <c r="BB26" s="19">
        <v>0</v>
      </c>
      <c r="BC26" s="19">
        <v>2</v>
      </c>
      <c r="BD26" s="19">
        <v>0</v>
      </c>
      <c r="BE26" s="19">
        <v>0</v>
      </c>
      <c r="BF26" s="19">
        <v>0</v>
      </c>
      <c r="BG26" s="19">
        <v>1</v>
      </c>
      <c r="BH26" s="19">
        <v>0</v>
      </c>
      <c r="BI26" s="19">
        <v>0</v>
      </c>
      <c r="BJ26" s="19">
        <v>0</v>
      </c>
      <c r="BK26" s="19">
        <v>1</v>
      </c>
      <c r="BL26" s="20">
        <f ca="1">MMULT($I26:$BK26,tblCountries!M$3:M$57)/SUM(,tblCountries!M$3:M$57)</f>
        <v>1.0181818181818181</v>
      </c>
      <c r="BM26" s="20">
        <f ca="1">MMULT($I26:$BK26,tblCountries!N$3:N$57)/SUM(,tblCountries!N$3:N$57)</f>
        <v>0.7142857142857143</v>
      </c>
      <c r="BN26" s="20">
        <f ca="1">MMULT($I26:$BK26,tblCountries!O$3:O$57)/SUM(,tblCountries!O$3:O$57)</f>
        <v>0.33333333333333331</v>
      </c>
      <c r="BO26" s="20">
        <f ca="1">MMULT($I26:$BK26,tblCountries!P$3:P$57)/SUM(,tblCountries!P$3:P$57)</f>
        <v>0.75</v>
      </c>
      <c r="BP26" s="20">
        <f ca="1">MMULT($I26:$BK26,tblCountries!Q$3:Q$57)/SUM(,tblCountries!Q$3:Q$57)</f>
        <v>1.4166666666666667</v>
      </c>
      <c r="BQ26" s="20">
        <f ca="1">MMULT($I26:$BK26,tblCountries!R$3:R$57)/SUM(,tblCountries!R$3:R$57)</f>
        <v>1.1428571428571428</v>
      </c>
      <c r="BR26" s="20">
        <f ca="1">MMULT($I26:$BK26,tblCountries!S$3:S$57)/SUM(,tblCountries!S$3:S$57)</f>
        <v>2</v>
      </c>
      <c r="BS26" s="20">
        <f ca="1">MMULT($I26:$BK26,tblCountries!T$3:T$57)/SUM(,tblCountries!T$3:T$57)</f>
        <v>1</v>
      </c>
      <c r="BT26" s="20" t="e">
        <f ca="1">MMULT($I26:$BK26,tblCountries!U$3:U$57)/SUM(,tblCountries!U$3:U$57)</f>
        <v>#VALUE!</v>
      </c>
    </row>
    <row r="27" spans="1:72">
      <c r="A27">
        <f ca="1">tblIndicators!A19</f>
        <v>18</v>
      </c>
      <c r="B27">
        <f ca="1">tblIndicators!B19</f>
        <v>4</v>
      </c>
      <c r="C27" t="str">
        <f ca="1">tblIndicators!C19</f>
        <v>DEP01</v>
      </c>
      <c r="D27">
        <f ca="1">tblIndicators!D19</f>
        <v>0</v>
      </c>
      <c r="E27" t="e">
        <f ca="1">MATCH(C27,Weights!C$4:C$89,0)</f>
        <v>#N/A</v>
      </c>
      <c r="H27" t="str">
        <f ca="1">tblIndicators!K19</f>
        <v>MFI clients as % of population</v>
      </c>
      <c r="I27" s="19">
        <v>7.811823899371069E-2</v>
      </c>
      <c r="J27" s="19">
        <v>8.0098697068403926</v>
      </c>
      <c r="K27" s="19">
        <v>2.4274739281575899</v>
      </c>
      <c r="L27" s="19">
        <v>15.006832963549922</v>
      </c>
      <c r="M27" s="19">
        <v>8.0199338033025569</v>
      </c>
      <c r="N27" s="19">
        <v>11.683139227104288</v>
      </c>
      <c r="O27" s="19">
        <v>0.33507531140876629</v>
      </c>
      <c r="P27" s="19">
        <v>5.5824999999999996</v>
      </c>
      <c r="Q27" s="19">
        <v>0.76854233654876747</v>
      </c>
      <c r="R27" s="19">
        <v>1.2774980612062279</v>
      </c>
      <c r="S27" s="19">
        <v>2.4296710033376474E-3</v>
      </c>
      <c r="T27" s="19">
        <v>2.4827403704792759</v>
      </c>
      <c r="U27" s="19">
        <v>1.7651548672566373</v>
      </c>
      <c r="V27" s="19">
        <v>2.3882554283880628</v>
      </c>
      <c r="W27" s="19">
        <v>9.939743589743591E-2</v>
      </c>
      <c r="X27" s="19">
        <v>7.6773425054308468</v>
      </c>
      <c r="Y27" s="19">
        <v>4.8631810766721042</v>
      </c>
      <c r="Z27" s="19">
        <v>1.9369522079373951</v>
      </c>
      <c r="AA27" s="19">
        <v>2.8767660550458718</v>
      </c>
      <c r="AB27" s="19">
        <v>0.84451246174027106</v>
      </c>
      <c r="AC27" s="19">
        <v>2.7254857560262966</v>
      </c>
      <c r="AD27" s="19">
        <v>1.2073684210526314</v>
      </c>
      <c r="AE27" s="19">
        <v>2.8841666666666663</v>
      </c>
      <c r="AF27" s="19">
        <v>0.90365193748639228</v>
      </c>
      <c r="AG27" s="19">
        <v>1.5816058356839184</v>
      </c>
      <c r="AH27" s="19">
        <v>0.62000741015190808</v>
      </c>
      <c r="AI27" s="19">
        <v>2.4442325519798702</v>
      </c>
      <c r="AJ27" s="19">
        <v>3.6099732006125573</v>
      </c>
      <c r="AK27" s="19">
        <v>0.39915865384615384</v>
      </c>
      <c r="AL27" s="19">
        <v>0.2000645022575801</v>
      </c>
      <c r="AM27" s="19">
        <v>1.748264823572224</v>
      </c>
      <c r="AN27" s="19">
        <v>13.461192307692308</v>
      </c>
      <c r="AO27" s="19">
        <v>4.2534529147982063</v>
      </c>
      <c r="AP27" s="19">
        <v>0.2359915862636609</v>
      </c>
      <c r="AQ27" s="19">
        <v>1.6806441281138789</v>
      </c>
      <c r="AR27" s="19">
        <v>6.7433514899070817</v>
      </c>
      <c r="AS27" s="19">
        <v>0.29200276320196494</v>
      </c>
      <c r="AT27" s="19">
        <v>0.50220676923076923</v>
      </c>
      <c r="AU27" s="19">
        <v>0.60100029420417778</v>
      </c>
      <c r="AV27" s="194">
        <v>3.0494465938647561</v>
      </c>
      <c r="AW27" s="19">
        <v>5.7026005297375386</v>
      </c>
      <c r="AX27" s="19">
        <v>2.0285584101888472</v>
      </c>
      <c r="AY27" s="19">
        <v>0.45995769434161821</v>
      </c>
      <c r="AZ27" s="19">
        <v>1.9378889823380991</v>
      </c>
      <c r="BA27" s="19">
        <v>3.554191709844559</v>
      </c>
      <c r="BB27" s="19">
        <v>1.5754155124653741</v>
      </c>
      <c r="BC27" s="19">
        <v>0.56862583583680593</v>
      </c>
      <c r="BD27" s="19">
        <v>7.2102220870094427E-3</v>
      </c>
      <c r="BE27" s="19">
        <v>0.14458646616541351</v>
      </c>
      <c r="BF27" s="19">
        <v>2.6770657672849957E-3</v>
      </c>
      <c r="BG27" s="19">
        <v>0.72593668407310707</v>
      </c>
      <c r="BH27" s="19">
        <v>0.1998500299940012</v>
      </c>
      <c r="BI27" s="19">
        <v>0.26772437168715968</v>
      </c>
      <c r="BJ27" s="19">
        <v>6.7887558349557846</v>
      </c>
      <c r="BK27" s="19">
        <v>8.2070049393803329E-2</v>
      </c>
    </row>
    <row r="28" spans="1:72">
      <c r="A28">
        <f ca="1">tblIndicators!A20</f>
        <v>19</v>
      </c>
      <c r="B28">
        <f ca="1">tblIndicators!B20</f>
        <v>4</v>
      </c>
      <c r="C28" t="str">
        <f ca="1">tblIndicators!C20</f>
        <v>DEP02</v>
      </c>
      <c r="D28">
        <f ca="1">tblIndicators!D20</f>
        <v>0</v>
      </c>
      <c r="E28" t="e">
        <f ca="1">MATCH(C28,Weights!C$4:C$89,0)</f>
        <v>#N/A</v>
      </c>
      <c r="H28" t="str">
        <f ca="1">tblIndicators!K20</f>
        <v>MFI clients as % of microenterprises</v>
      </c>
      <c r="I28">
        <v>1.2815557184120232</v>
      </c>
      <c r="J28" t="e">
        <v>#N/A</v>
      </c>
      <c r="K28" t="e">
        <v>#N/A</v>
      </c>
      <c r="L28" t="e">
        <v>#N/A</v>
      </c>
      <c r="M28">
        <v>44.625449447924396</v>
      </c>
      <c r="N28" t="e">
        <v>#N/A</v>
      </c>
      <c r="O28">
        <v>2.8750621210881939</v>
      </c>
      <c r="P28" t="e">
        <v>#N/A</v>
      </c>
      <c r="Q28" t="e">
        <v>#N/A</v>
      </c>
      <c r="R28">
        <v>13.88282130419311</v>
      </c>
      <c r="S28" t="e">
        <v>#N/A</v>
      </c>
      <c r="T28">
        <v>11.591768668724008</v>
      </c>
      <c r="U28">
        <v>15.8781491337601</v>
      </c>
      <c r="V28">
        <v>15.573619738159342</v>
      </c>
      <c r="W28" t="e">
        <v>#N/A</v>
      </c>
      <c r="X28">
        <v>47.48838045137019</v>
      </c>
      <c r="Y28">
        <v>35.793202436844965</v>
      </c>
      <c r="Z28" t="e">
        <v>#N/A</v>
      </c>
      <c r="AA28" t="e">
        <v>#N/A</v>
      </c>
      <c r="AB28" t="e">
        <v>#N/A</v>
      </c>
      <c r="AC28">
        <v>21.012528724627639</v>
      </c>
      <c r="AD28" t="e">
        <v>#N/A</v>
      </c>
      <c r="AE28">
        <v>17.811886880880195</v>
      </c>
      <c r="AF28" t="e">
        <v>#N/A</v>
      </c>
      <c r="AG28" t="e">
        <v>#N/A</v>
      </c>
      <c r="AH28" t="e">
        <v>#N/A</v>
      </c>
      <c r="AI28" t="e">
        <v>#N/A</v>
      </c>
      <c r="AJ28" t="e">
        <v>#N/A</v>
      </c>
      <c r="AK28" t="e">
        <v>#N/A</v>
      </c>
      <c r="AL28" t="e">
        <v>#N/A</v>
      </c>
      <c r="AM28">
        <v>17.446465245547422</v>
      </c>
      <c r="AN28" t="e">
        <v>#N/A</v>
      </c>
      <c r="AO28" t="e">
        <v>#N/A</v>
      </c>
      <c r="AP28" t="e">
        <v>#N/A</v>
      </c>
      <c r="AQ28" t="e">
        <v>#N/A</v>
      </c>
      <c r="AR28">
        <v>58.715065084093169</v>
      </c>
      <c r="AS28" t="e">
        <v>#N/A</v>
      </c>
      <c r="AT28" t="e">
        <v>#N/A</v>
      </c>
      <c r="AU28">
        <v>4.9016220366637873</v>
      </c>
      <c r="AV28" s="195">
        <v>17.788631651236457</v>
      </c>
      <c r="AW28">
        <v>31.25358565943796</v>
      </c>
      <c r="AX28" t="e">
        <v>#N/A</v>
      </c>
      <c r="AY28" t="e">
        <v>#N/A</v>
      </c>
      <c r="AZ28" t="e">
        <v>#N/A</v>
      </c>
      <c r="BA28" t="e">
        <v>#N/A</v>
      </c>
      <c r="BB28" t="e">
        <v>#N/A</v>
      </c>
      <c r="BC28" t="e">
        <v>#N/A</v>
      </c>
      <c r="BD28" t="e">
        <v>#N/A</v>
      </c>
      <c r="BE28" t="e">
        <v>#N/A</v>
      </c>
      <c r="BF28" t="e">
        <v>#N/A</v>
      </c>
      <c r="BG28" t="e">
        <v>#N/A</v>
      </c>
      <c r="BH28">
        <v>2.5682215463084912</v>
      </c>
      <c r="BI28">
        <v>1.3584964058778015</v>
      </c>
      <c r="BJ28" t="e">
        <v>#N/A</v>
      </c>
      <c r="BK28" t="e">
        <v>#N/A</v>
      </c>
    </row>
    <row r="34" spans="1:63">
      <c r="A34">
        <f>A10</f>
        <v>1</v>
      </c>
      <c r="B34">
        <f>B10</f>
        <v>0</v>
      </c>
      <c r="C34" t="str">
        <f>C10</f>
        <v>OVERALL</v>
      </c>
      <c r="H34" t="str">
        <f>H10</f>
        <v>Overall score</v>
      </c>
    </row>
    <row r="35" spans="1:63">
      <c r="A35">
        <f t="shared" ref="A35:C52" si="9">A11</f>
        <v>2</v>
      </c>
      <c r="B35">
        <f t="shared" si="9"/>
        <v>1</v>
      </c>
      <c r="C35" t="str">
        <f t="shared" si="9"/>
        <v>RF00</v>
      </c>
      <c r="H35" t="str">
        <f t="shared" ref="H35:H52" si="10">H11</f>
        <v xml:space="preserve">     Regulatory Framework </v>
      </c>
    </row>
    <row r="36" spans="1:63">
      <c r="A36">
        <f t="shared" si="9"/>
        <v>3</v>
      </c>
      <c r="B36">
        <f t="shared" si="9"/>
        <v>2</v>
      </c>
      <c r="C36" t="str">
        <f t="shared" si="9"/>
        <v>RF01</v>
      </c>
      <c r="H36" t="str">
        <f t="shared" si="10"/>
        <v xml:space="preserve">          Regulation of microcredit operations</v>
      </c>
      <c r="I36" s="4" t="s">
        <v>203</v>
      </c>
      <c r="J36" s="4" t="s">
        <v>196</v>
      </c>
      <c r="K36" s="4" t="s">
        <v>710</v>
      </c>
      <c r="L36" s="4" t="s">
        <v>711</v>
      </c>
      <c r="M36" s="4" t="s">
        <v>712</v>
      </c>
      <c r="N36" s="4" t="s">
        <v>713</v>
      </c>
      <c r="O36" s="4" t="s">
        <v>709</v>
      </c>
      <c r="P36" s="4" t="s">
        <v>705</v>
      </c>
      <c r="Q36" s="4" t="s">
        <v>706</v>
      </c>
      <c r="R36" s="4" t="s">
        <v>707</v>
      </c>
      <c r="S36" s="4" t="s">
        <v>708</v>
      </c>
      <c r="T36" s="4" t="s">
        <v>704</v>
      </c>
      <c r="U36" s="4" t="s">
        <v>703</v>
      </c>
      <c r="V36" s="4" t="s">
        <v>702</v>
      </c>
      <c r="W36" s="4" t="s">
        <v>197</v>
      </c>
      <c r="X36" s="4" t="s">
        <v>694</v>
      </c>
      <c r="Y36" s="4" t="s">
        <v>695</v>
      </c>
      <c r="Z36" s="4" t="s">
        <v>696</v>
      </c>
      <c r="AA36" s="4" t="s">
        <v>697</v>
      </c>
      <c r="AB36" s="4" t="s">
        <v>198</v>
      </c>
      <c r="AC36" s="4" t="s">
        <v>698</v>
      </c>
      <c r="AD36" s="4" t="s">
        <v>199</v>
      </c>
      <c r="AE36" s="4" t="s">
        <v>200</v>
      </c>
      <c r="AF36" s="4" t="s">
        <v>201</v>
      </c>
      <c r="AG36" s="4" t="s">
        <v>699</v>
      </c>
      <c r="AH36" s="4" t="s">
        <v>700</v>
      </c>
      <c r="AI36" s="4" t="s">
        <v>701</v>
      </c>
      <c r="AJ36" s="4" t="s">
        <v>693</v>
      </c>
      <c r="AK36" s="4" t="s">
        <v>202</v>
      </c>
      <c r="AL36" s="4" t="s">
        <v>195</v>
      </c>
      <c r="AM36" s="4" t="s">
        <v>692</v>
      </c>
      <c r="AN36" s="4" t="s">
        <v>689</v>
      </c>
      <c r="AO36" s="4" t="s">
        <v>690</v>
      </c>
      <c r="AP36" s="4" t="s">
        <v>691</v>
      </c>
      <c r="AQ36" s="4" t="s">
        <v>688</v>
      </c>
      <c r="AR36" s="4" t="s">
        <v>687</v>
      </c>
      <c r="AS36" s="4" t="s">
        <v>191</v>
      </c>
      <c r="AT36" s="4" t="s">
        <v>685</v>
      </c>
      <c r="AU36" s="4" t="s">
        <v>192</v>
      </c>
      <c r="AV36" s="4" t="s">
        <v>686</v>
      </c>
      <c r="AW36" s="4" t="s">
        <v>684</v>
      </c>
      <c r="AX36" s="4" t="s">
        <v>683</v>
      </c>
      <c r="AY36" s="4" t="s">
        <v>193</v>
      </c>
      <c r="AZ36" s="4" t="s">
        <v>682</v>
      </c>
      <c r="BA36" s="4" t="s">
        <v>194</v>
      </c>
      <c r="BB36" s="4" t="s">
        <v>680</v>
      </c>
      <c r="BC36" s="4" t="s">
        <v>38</v>
      </c>
      <c r="BD36" s="4" t="s">
        <v>681</v>
      </c>
      <c r="BE36" s="4" t="s">
        <v>679</v>
      </c>
      <c r="BF36" s="4" t="s">
        <v>676</v>
      </c>
      <c r="BG36" s="4" t="s">
        <v>677</v>
      </c>
      <c r="BH36" s="4" t="s">
        <v>678</v>
      </c>
      <c r="BI36" s="4" t="s">
        <v>675</v>
      </c>
      <c r="BJ36" s="4" t="s">
        <v>664</v>
      </c>
      <c r="BK36" s="4" t="s">
        <v>665</v>
      </c>
    </row>
    <row r="37" spans="1:63">
      <c r="A37">
        <f t="shared" si="9"/>
        <v>4</v>
      </c>
      <c r="B37">
        <f t="shared" si="9"/>
        <v>2</v>
      </c>
      <c r="C37" t="str">
        <f t="shared" si="9"/>
        <v>RF02</v>
      </c>
      <c r="H37" t="str">
        <f t="shared" si="10"/>
        <v xml:space="preserve">          Formation and operation of regulated, specialised MFIs</v>
      </c>
      <c r="I37" s="4" t="s">
        <v>142</v>
      </c>
      <c r="J37" s="4" t="s">
        <v>666</v>
      </c>
      <c r="K37" s="4" t="s">
        <v>667</v>
      </c>
      <c r="L37" s="4" t="s">
        <v>668</v>
      </c>
      <c r="M37" s="4" t="s">
        <v>669</v>
      </c>
      <c r="N37" s="4" t="s">
        <v>670</v>
      </c>
      <c r="O37" s="4" t="s">
        <v>671</v>
      </c>
      <c r="P37" s="4" t="s">
        <v>672</v>
      </c>
      <c r="Q37" s="4" t="s">
        <v>673</v>
      </c>
      <c r="R37" s="4" t="s">
        <v>674</v>
      </c>
      <c r="S37" s="4" t="s">
        <v>663</v>
      </c>
      <c r="T37" s="4" t="s">
        <v>651</v>
      </c>
      <c r="U37" s="4" t="s">
        <v>652</v>
      </c>
      <c r="V37" s="4" t="s">
        <v>653</v>
      </c>
      <c r="W37" s="4" t="s">
        <v>143</v>
      </c>
      <c r="X37" s="4" t="s">
        <v>654</v>
      </c>
      <c r="Y37" s="4" t="s">
        <v>655</v>
      </c>
      <c r="Z37" s="4" t="s">
        <v>144</v>
      </c>
      <c r="AA37" s="4" t="s">
        <v>656</v>
      </c>
      <c r="AB37" s="4" t="s">
        <v>145</v>
      </c>
      <c r="AC37" s="4" t="s">
        <v>657</v>
      </c>
      <c r="AD37" s="4" t="s">
        <v>146</v>
      </c>
      <c r="AE37" s="4" t="s">
        <v>147</v>
      </c>
      <c r="AF37" s="4" t="s">
        <v>148</v>
      </c>
      <c r="AG37" s="4" t="s">
        <v>658</v>
      </c>
      <c r="AH37" s="4" t="s">
        <v>659</v>
      </c>
      <c r="AI37" s="4" t="s">
        <v>660</v>
      </c>
      <c r="AJ37" s="4" t="s">
        <v>661</v>
      </c>
      <c r="AK37" s="4" t="s">
        <v>662</v>
      </c>
      <c r="AL37" s="4" t="s">
        <v>149</v>
      </c>
      <c r="AM37" s="4" t="s">
        <v>650</v>
      </c>
      <c r="AN37" s="4" t="s">
        <v>649</v>
      </c>
      <c r="AO37" s="4" t="s">
        <v>648</v>
      </c>
      <c r="AP37" s="4" t="s">
        <v>150</v>
      </c>
      <c r="AQ37" s="4" t="s">
        <v>645</v>
      </c>
      <c r="AR37" s="4" t="s">
        <v>726</v>
      </c>
      <c r="AS37" s="4" t="s">
        <v>151</v>
      </c>
      <c r="AT37" s="4" t="s">
        <v>646</v>
      </c>
      <c r="AU37" s="4" t="s">
        <v>170</v>
      </c>
      <c r="AV37" s="4" t="s">
        <v>647</v>
      </c>
      <c r="AW37" s="4" t="s">
        <v>644</v>
      </c>
      <c r="AX37" s="4" t="s">
        <v>642</v>
      </c>
      <c r="AY37" s="4" t="s">
        <v>643</v>
      </c>
      <c r="AZ37" s="4" t="s">
        <v>641</v>
      </c>
      <c r="BA37" s="4" t="s">
        <v>171</v>
      </c>
      <c r="BB37" s="4" t="s">
        <v>611</v>
      </c>
      <c r="BC37" s="4" t="s">
        <v>612</v>
      </c>
      <c r="BD37" s="4" t="s">
        <v>613</v>
      </c>
      <c r="BE37" s="4" t="s">
        <v>614</v>
      </c>
      <c r="BF37" s="4" t="s">
        <v>615</v>
      </c>
      <c r="BG37" s="4" t="s">
        <v>616</v>
      </c>
      <c r="BH37" s="4" t="s">
        <v>617</v>
      </c>
      <c r="BI37" s="4" t="s">
        <v>618</v>
      </c>
      <c r="BJ37" s="4" t="s">
        <v>619</v>
      </c>
      <c r="BK37" s="4" t="s">
        <v>172</v>
      </c>
    </row>
    <row r="38" spans="1:63">
      <c r="A38">
        <f t="shared" si="9"/>
        <v>5</v>
      </c>
      <c r="B38">
        <f t="shared" si="9"/>
        <v>2</v>
      </c>
      <c r="C38" t="str">
        <f t="shared" si="9"/>
        <v>RF03</v>
      </c>
      <c r="H38" t="str">
        <f t="shared" si="10"/>
        <v xml:space="preserve">          Formation and operation of non-regulated MFIs</v>
      </c>
      <c r="I38" s="4" t="s">
        <v>173</v>
      </c>
      <c r="J38" s="4" t="s">
        <v>174</v>
      </c>
      <c r="K38" s="4" t="s">
        <v>175</v>
      </c>
      <c r="L38" s="4" t="s">
        <v>176</v>
      </c>
      <c r="M38" s="4" t="s">
        <v>162</v>
      </c>
      <c r="N38" s="4" t="s">
        <v>627</v>
      </c>
      <c r="O38" s="4" t="s">
        <v>628</v>
      </c>
      <c r="P38" s="4" t="s">
        <v>163</v>
      </c>
      <c r="Q38" s="4" t="s">
        <v>629</v>
      </c>
      <c r="R38" s="4" t="s">
        <v>630</v>
      </c>
      <c r="S38" s="4" t="s">
        <v>631</v>
      </c>
      <c r="T38" s="4" t="s">
        <v>632</v>
      </c>
      <c r="U38" s="4" t="s">
        <v>633</v>
      </c>
      <c r="V38" s="4" t="s">
        <v>634</v>
      </c>
      <c r="W38" s="4" t="s">
        <v>164</v>
      </c>
      <c r="X38" s="4" t="s">
        <v>635</v>
      </c>
      <c r="Y38" s="4" t="s">
        <v>636</v>
      </c>
      <c r="Z38" s="4" t="s">
        <v>165</v>
      </c>
      <c r="AA38" s="4" t="s">
        <v>637</v>
      </c>
      <c r="AB38" s="4" t="s">
        <v>166</v>
      </c>
      <c r="AC38" s="4" t="s">
        <v>638</v>
      </c>
      <c r="AD38" s="4" t="s">
        <v>167</v>
      </c>
      <c r="AE38" s="4" t="s">
        <v>168</v>
      </c>
      <c r="AF38" s="4" t="s">
        <v>169</v>
      </c>
      <c r="AG38" s="4" t="s">
        <v>639</v>
      </c>
      <c r="AH38" s="4" t="s">
        <v>640</v>
      </c>
      <c r="AI38" s="4" t="s">
        <v>608</v>
      </c>
      <c r="AJ38" s="4" t="s">
        <v>609</v>
      </c>
      <c r="AK38" s="4" t="s">
        <v>610</v>
      </c>
      <c r="AL38" s="4" t="s">
        <v>117</v>
      </c>
      <c r="AM38" s="4" t="s">
        <v>620</v>
      </c>
      <c r="AN38" s="4" t="s">
        <v>621</v>
      </c>
      <c r="AO38" s="4" t="s">
        <v>622</v>
      </c>
      <c r="AP38" s="4" t="s">
        <v>118</v>
      </c>
      <c r="AQ38" s="4" t="s">
        <v>623</v>
      </c>
      <c r="AR38" s="4" t="s">
        <v>624</v>
      </c>
      <c r="AS38" s="4" t="s">
        <v>119</v>
      </c>
      <c r="AT38" s="4" t="s">
        <v>120</v>
      </c>
      <c r="AU38" s="4" t="s">
        <v>121</v>
      </c>
      <c r="AV38" s="4" t="s">
        <v>625</v>
      </c>
      <c r="AW38" s="4" t="s">
        <v>626</v>
      </c>
      <c r="AX38" s="4" t="s">
        <v>607</v>
      </c>
      <c r="AY38" s="4" t="s">
        <v>586</v>
      </c>
      <c r="AZ38" s="4" t="s">
        <v>587</v>
      </c>
      <c r="BA38" s="4" t="s">
        <v>122</v>
      </c>
      <c r="BB38" s="4" t="s">
        <v>588</v>
      </c>
      <c r="BC38" s="4" t="s">
        <v>589</v>
      </c>
      <c r="BD38" s="4" t="s">
        <v>590</v>
      </c>
      <c r="BE38" s="4" t="s">
        <v>591</v>
      </c>
      <c r="BF38" s="4" t="s">
        <v>592</v>
      </c>
      <c r="BG38" s="4" t="s">
        <v>593</v>
      </c>
      <c r="BH38" s="4" t="s">
        <v>594</v>
      </c>
      <c r="BI38" s="4" t="s">
        <v>595</v>
      </c>
      <c r="BJ38" s="4" t="s">
        <v>596</v>
      </c>
      <c r="BK38" s="4" t="s">
        <v>597</v>
      </c>
    </row>
    <row r="39" spans="1:63">
      <c r="A39">
        <f t="shared" si="9"/>
        <v>6</v>
      </c>
      <c r="B39">
        <f t="shared" si="9"/>
        <v>2</v>
      </c>
      <c r="C39" t="str">
        <f t="shared" si="9"/>
        <v>RF04</v>
      </c>
      <c r="H39" t="str">
        <f t="shared" si="10"/>
        <v xml:space="preserve">          Regulatory and examination capacity</v>
      </c>
      <c r="I39" s="4" t="s">
        <v>123</v>
      </c>
      <c r="J39" s="4" t="s">
        <v>598</v>
      </c>
      <c r="K39" s="4" t="s">
        <v>599</v>
      </c>
      <c r="L39" s="4" t="s">
        <v>124</v>
      </c>
      <c r="M39" s="4" t="s">
        <v>600</v>
      </c>
      <c r="N39" s="4" t="s">
        <v>601</v>
      </c>
      <c r="O39" s="4" t="s">
        <v>602</v>
      </c>
      <c r="P39" s="4" t="s">
        <v>125</v>
      </c>
      <c r="Q39" s="4" t="s">
        <v>126</v>
      </c>
      <c r="R39" s="4" t="s">
        <v>603</v>
      </c>
      <c r="S39" s="4" t="s">
        <v>604</v>
      </c>
      <c r="T39" s="4" t="s">
        <v>605</v>
      </c>
      <c r="U39" s="4" t="s">
        <v>606</v>
      </c>
      <c r="V39" s="4" t="s">
        <v>0</v>
      </c>
      <c r="W39" s="4" t="s">
        <v>177</v>
      </c>
      <c r="X39" s="4" t="s">
        <v>543</v>
      </c>
      <c r="Y39" s="4" t="s">
        <v>544</v>
      </c>
      <c r="Z39" s="4" t="s">
        <v>178</v>
      </c>
      <c r="AA39" s="4" t="s">
        <v>545</v>
      </c>
      <c r="AB39" s="4" t="s">
        <v>179</v>
      </c>
      <c r="AC39" s="4" t="s">
        <v>546</v>
      </c>
      <c r="AD39" s="4" t="s">
        <v>180</v>
      </c>
      <c r="AE39" s="4" t="s">
        <v>181</v>
      </c>
      <c r="AF39" s="4" t="s">
        <v>182</v>
      </c>
      <c r="AG39" s="4" t="s">
        <v>547</v>
      </c>
      <c r="AH39" s="4" t="s">
        <v>548</v>
      </c>
      <c r="AI39" s="4" t="s">
        <v>549</v>
      </c>
      <c r="AJ39" s="4" t="s">
        <v>550</v>
      </c>
      <c r="AK39" s="4" t="s">
        <v>563</v>
      </c>
      <c r="AL39" s="4" t="s">
        <v>183</v>
      </c>
      <c r="AM39" s="4" t="s">
        <v>564</v>
      </c>
      <c r="AN39" s="4" t="s">
        <v>565</v>
      </c>
      <c r="AO39" s="4" t="s">
        <v>566</v>
      </c>
      <c r="AP39" s="4" t="s">
        <v>184</v>
      </c>
      <c r="AQ39" s="4" t="s">
        <v>567</v>
      </c>
      <c r="AR39" s="4" t="s">
        <v>568</v>
      </c>
      <c r="AS39" s="4" t="s">
        <v>185</v>
      </c>
      <c r="AT39" s="4" t="s">
        <v>569</v>
      </c>
      <c r="AU39" s="4" t="s">
        <v>186</v>
      </c>
      <c r="AV39" s="4" t="s">
        <v>570</v>
      </c>
      <c r="AW39" s="4" t="s">
        <v>571</v>
      </c>
      <c r="AX39" s="4" t="s">
        <v>572</v>
      </c>
      <c r="AY39" s="4" t="s">
        <v>573</v>
      </c>
      <c r="AZ39" s="4" t="s">
        <v>519</v>
      </c>
      <c r="BA39" s="4" t="s">
        <v>187</v>
      </c>
      <c r="BB39" s="4" t="s">
        <v>188</v>
      </c>
      <c r="BC39" s="4" t="s">
        <v>189</v>
      </c>
      <c r="BD39" s="4" t="s">
        <v>520</v>
      </c>
      <c r="BE39" s="4" t="s">
        <v>521</v>
      </c>
      <c r="BF39" s="4" t="s">
        <v>522</v>
      </c>
      <c r="BG39" s="4" t="s">
        <v>523</v>
      </c>
      <c r="BH39" s="4" t="s">
        <v>524</v>
      </c>
      <c r="BI39" s="4" t="s">
        <v>574</v>
      </c>
      <c r="BJ39" s="4" t="s">
        <v>575</v>
      </c>
      <c r="BK39" s="4" t="s">
        <v>576</v>
      </c>
    </row>
    <row r="40" spans="1:63">
      <c r="A40">
        <f t="shared" si="9"/>
        <v>7</v>
      </c>
      <c r="B40">
        <f t="shared" si="9"/>
        <v>1</v>
      </c>
      <c r="C40" t="str">
        <f t="shared" si="9"/>
        <v>IC00</v>
      </c>
      <c r="H40" t="str">
        <f t="shared" si="10"/>
        <v xml:space="preserve">     Investment Climate</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c r="AX40" s="4">
        <v>0</v>
      </c>
      <c r="AY40" s="4">
        <v>0</v>
      </c>
      <c r="AZ40" s="4">
        <v>0</v>
      </c>
      <c r="BA40" s="4">
        <v>0</v>
      </c>
      <c r="BB40" s="4">
        <v>0</v>
      </c>
      <c r="BC40" s="4">
        <v>0</v>
      </c>
      <c r="BD40" s="4">
        <v>0</v>
      </c>
      <c r="BE40" s="4">
        <v>0</v>
      </c>
      <c r="BF40" s="4">
        <v>0</v>
      </c>
      <c r="BG40" s="4">
        <v>0</v>
      </c>
      <c r="BH40" s="4">
        <v>0</v>
      </c>
      <c r="BI40" s="4">
        <v>0</v>
      </c>
      <c r="BJ40" s="4">
        <v>0</v>
      </c>
      <c r="BK40" s="4">
        <v>0</v>
      </c>
    </row>
    <row r="41" spans="1:63">
      <c r="A41">
        <f t="shared" si="9"/>
        <v>8</v>
      </c>
      <c r="B41">
        <f t="shared" si="9"/>
        <v>2</v>
      </c>
      <c r="C41" t="str">
        <f t="shared" si="9"/>
        <v>IC01</v>
      </c>
      <c r="H41" t="str">
        <f t="shared" si="10"/>
        <v xml:space="preserve">          Political stability</v>
      </c>
      <c r="I41" s="4" t="s">
        <v>577</v>
      </c>
      <c r="J41" s="4" t="s">
        <v>578</v>
      </c>
      <c r="K41" s="4" t="s">
        <v>579</v>
      </c>
      <c r="L41" s="4" t="s">
        <v>580</v>
      </c>
      <c r="M41" s="4" t="s">
        <v>581</v>
      </c>
      <c r="N41" s="4" t="s">
        <v>582</v>
      </c>
      <c r="O41" s="4" t="s">
        <v>583</v>
      </c>
      <c r="P41" s="4" t="s">
        <v>584</v>
      </c>
      <c r="Q41" s="4" t="s">
        <v>585</v>
      </c>
      <c r="R41" s="4" t="s">
        <v>539</v>
      </c>
      <c r="S41" s="4" t="s">
        <v>540</v>
      </c>
      <c r="T41" s="4" t="s">
        <v>541</v>
      </c>
      <c r="U41" s="4" t="s">
        <v>542</v>
      </c>
      <c r="V41" s="4" t="s">
        <v>509</v>
      </c>
      <c r="W41" s="4" t="s">
        <v>510</v>
      </c>
      <c r="X41" s="4" t="s">
        <v>511</v>
      </c>
      <c r="Y41" s="4" t="s">
        <v>512</v>
      </c>
      <c r="Z41" s="4" t="s">
        <v>513</v>
      </c>
      <c r="AA41" s="4" t="s">
        <v>514</v>
      </c>
      <c r="AB41" s="4" t="s">
        <v>551</v>
      </c>
      <c r="AC41" s="4" t="s">
        <v>552</v>
      </c>
      <c r="AD41" s="4" t="s">
        <v>553</v>
      </c>
      <c r="AE41" s="4" t="s">
        <v>554</v>
      </c>
      <c r="AF41" s="4" t="s">
        <v>555</v>
      </c>
      <c r="AG41" s="4" t="s">
        <v>556</v>
      </c>
      <c r="AH41" s="4" t="s">
        <v>557</v>
      </c>
      <c r="AI41" s="4" t="s">
        <v>558</v>
      </c>
      <c r="AJ41" s="4" t="s">
        <v>559</v>
      </c>
      <c r="AK41" s="4" t="s">
        <v>560</v>
      </c>
      <c r="AL41" s="4" t="s">
        <v>561</v>
      </c>
      <c r="AM41" s="4" t="s">
        <v>562</v>
      </c>
      <c r="AN41" s="4" t="s">
        <v>515</v>
      </c>
      <c r="AO41" s="4" t="s">
        <v>516</v>
      </c>
      <c r="AP41" s="4" t="s">
        <v>517</v>
      </c>
      <c r="AQ41" s="4" t="s">
        <v>518</v>
      </c>
      <c r="AR41" s="4" t="s">
        <v>525</v>
      </c>
      <c r="AS41" s="4" t="s">
        <v>526</v>
      </c>
      <c r="AT41" s="4" t="s">
        <v>527</v>
      </c>
      <c r="AU41" s="4" t="s">
        <v>528</v>
      </c>
      <c r="AV41" s="4" t="s">
        <v>529</v>
      </c>
      <c r="AW41" s="4" t="s">
        <v>530</v>
      </c>
      <c r="AX41" s="4" t="s">
        <v>531</v>
      </c>
      <c r="AY41" s="4" t="s">
        <v>532</v>
      </c>
      <c r="AZ41" s="4" t="s">
        <v>533</v>
      </c>
      <c r="BA41" s="4" t="s">
        <v>534</v>
      </c>
      <c r="BB41" s="4" t="s">
        <v>535</v>
      </c>
      <c r="BC41" s="4" t="s">
        <v>536</v>
      </c>
      <c r="BD41" s="4" t="s">
        <v>537</v>
      </c>
      <c r="BE41" s="4" t="s">
        <v>538</v>
      </c>
      <c r="BF41" s="4" t="s">
        <v>502</v>
      </c>
      <c r="BG41" s="4" t="s">
        <v>503</v>
      </c>
      <c r="BH41" s="4" t="s">
        <v>504</v>
      </c>
      <c r="BI41" s="4" t="s">
        <v>505</v>
      </c>
      <c r="BJ41" s="4" t="s">
        <v>506</v>
      </c>
      <c r="BK41" s="4" t="s">
        <v>507</v>
      </c>
    </row>
    <row r="42" spans="1:63">
      <c r="A42">
        <f t="shared" si="9"/>
        <v>9</v>
      </c>
      <c r="B42">
        <f t="shared" si="9"/>
        <v>2</v>
      </c>
      <c r="C42" t="str">
        <f t="shared" si="9"/>
        <v>IC02</v>
      </c>
      <c r="H42" t="str">
        <f t="shared" si="10"/>
        <v xml:space="preserve">          Capital market development</v>
      </c>
      <c r="I42" s="4" t="s">
        <v>508</v>
      </c>
      <c r="J42" s="4" t="s">
        <v>501</v>
      </c>
      <c r="K42" s="4" t="s">
        <v>490</v>
      </c>
      <c r="L42" s="4" t="s">
        <v>491</v>
      </c>
      <c r="M42" s="4" t="s">
        <v>492</v>
      </c>
      <c r="N42" s="4" t="s">
        <v>493</v>
      </c>
      <c r="O42" s="4" t="s">
        <v>494</v>
      </c>
      <c r="P42" s="4" t="s">
        <v>495</v>
      </c>
      <c r="Q42" s="4" t="s">
        <v>496</v>
      </c>
      <c r="R42" s="4" t="s">
        <v>497</v>
      </c>
      <c r="S42" s="4" t="s">
        <v>498</v>
      </c>
      <c r="T42" s="4" t="s">
        <v>499</v>
      </c>
      <c r="U42" s="4" t="s">
        <v>190</v>
      </c>
      <c r="V42" s="4" t="s">
        <v>500</v>
      </c>
      <c r="W42" s="4" t="s">
        <v>457</v>
      </c>
      <c r="X42" s="4" t="s">
        <v>458</v>
      </c>
      <c r="Y42" s="4" t="s">
        <v>459</v>
      </c>
      <c r="Z42" s="4" t="s">
        <v>460</v>
      </c>
      <c r="AA42" s="4" t="s">
        <v>482</v>
      </c>
      <c r="AB42" s="4" t="s">
        <v>483</v>
      </c>
      <c r="AC42" s="4" t="s">
        <v>484</v>
      </c>
      <c r="AD42" s="4" t="s">
        <v>485</v>
      </c>
      <c r="AE42" s="4" t="s">
        <v>470</v>
      </c>
      <c r="AF42" s="4" t="s">
        <v>471</v>
      </c>
      <c r="AG42" s="4" t="s">
        <v>472</v>
      </c>
      <c r="AH42" s="4" t="s">
        <v>473</v>
      </c>
      <c r="AI42" s="4" t="s">
        <v>474</v>
      </c>
      <c r="AJ42" s="4" t="s">
        <v>475</v>
      </c>
      <c r="AK42" s="4" t="s">
        <v>476</v>
      </c>
      <c r="AL42" s="4" t="s">
        <v>477</v>
      </c>
      <c r="AM42" s="4" t="s">
        <v>478</v>
      </c>
      <c r="AN42" s="4" t="s">
        <v>479</v>
      </c>
      <c r="AO42" s="4" t="s">
        <v>480</v>
      </c>
      <c r="AP42" s="4" t="s">
        <v>481</v>
      </c>
      <c r="AQ42" s="4" t="s">
        <v>435</v>
      </c>
      <c r="AR42" s="4" t="s">
        <v>436</v>
      </c>
      <c r="AS42" s="4" t="s">
        <v>437</v>
      </c>
      <c r="AT42" s="4" t="s">
        <v>438</v>
      </c>
      <c r="AU42" s="4" t="s">
        <v>486</v>
      </c>
      <c r="AV42" s="4" t="s">
        <v>487</v>
      </c>
      <c r="AW42" s="4" t="s">
        <v>488</v>
      </c>
      <c r="AX42" s="4" t="s">
        <v>489</v>
      </c>
      <c r="AY42" s="4" t="s">
        <v>447</v>
      </c>
      <c r="AZ42" s="4" t="s">
        <v>448</v>
      </c>
      <c r="BA42" s="4" t="s">
        <v>449</v>
      </c>
      <c r="BB42" s="4" t="s">
        <v>450</v>
      </c>
      <c r="BC42" s="4" t="s">
        <v>451</v>
      </c>
      <c r="BD42" s="4" t="s">
        <v>452</v>
      </c>
      <c r="BE42" s="4" t="s">
        <v>453</v>
      </c>
      <c r="BF42" s="4" t="s">
        <v>454</v>
      </c>
      <c r="BG42" s="4" t="s">
        <v>455</v>
      </c>
      <c r="BH42" s="4" t="s">
        <v>456</v>
      </c>
      <c r="BI42" s="4" t="s">
        <v>406</v>
      </c>
      <c r="BJ42" s="4" t="s">
        <v>407</v>
      </c>
      <c r="BK42" s="4" t="s">
        <v>408</v>
      </c>
    </row>
    <row r="43" spans="1:63">
      <c r="A43">
        <f t="shared" si="9"/>
        <v>10</v>
      </c>
      <c r="B43">
        <f t="shared" si="9"/>
        <v>2</v>
      </c>
      <c r="C43" t="str">
        <f t="shared" si="9"/>
        <v>IC03</v>
      </c>
      <c r="H43" t="str">
        <f t="shared" si="10"/>
        <v xml:space="preserve">          Judicial system</v>
      </c>
      <c r="I43" s="4" t="s">
        <v>409</v>
      </c>
      <c r="J43" s="4" t="s">
        <v>410</v>
      </c>
      <c r="K43" s="4" t="s">
        <v>461</v>
      </c>
      <c r="L43" s="4" t="s">
        <v>462</v>
      </c>
      <c r="M43" s="4" t="s">
        <v>463</v>
      </c>
      <c r="N43" s="4" t="s">
        <v>464</v>
      </c>
      <c r="O43" s="4" t="s">
        <v>136</v>
      </c>
      <c r="P43" s="4" t="s">
        <v>465</v>
      </c>
      <c r="Q43" s="4" t="s">
        <v>466</v>
      </c>
      <c r="R43" s="4" t="s">
        <v>467</v>
      </c>
      <c r="S43" s="4" t="s">
        <v>468</v>
      </c>
      <c r="T43" s="4" t="s">
        <v>469</v>
      </c>
      <c r="U43" s="4" t="s">
        <v>422</v>
      </c>
      <c r="V43" s="4" t="s">
        <v>423</v>
      </c>
      <c r="W43" s="4" t="s">
        <v>424</v>
      </c>
      <c r="X43" s="4" t="s">
        <v>425</v>
      </c>
      <c r="Y43" s="4" t="s">
        <v>426</v>
      </c>
      <c r="Z43" s="4" t="s">
        <v>427</v>
      </c>
      <c r="AA43" s="4" t="s">
        <v>428</v>
      </c>
      <c r="AB43" s="4" t="s">
        <v>429</v>
      </c>
      <c r="AC43" s="4" t="s">
        <v>430</v>
      </c>
      <c r="AD43" s="4" t="s">
        <v>431</v>
      </c>
      <c r="AE43" s="4" t="s">
        <v>432</v>
      </c>
      <c r="AF43" s="4" t="s">
        <v>433</v>
      </c>
      <c r="AG43" s="4" t="s">
        <v>434</v>
      </c>
      <c r="AH43" s="4" t="s">
        <v>378</v>
      </c>
      <c r="AI43" s="4" t="s">
        <v>379</v>
      </c>
      <c r="AJ43" s="4" t="s">
        <v>380</v>
      </c>
      <c r="AK43" s="4" t="s">
        <v>381</v>
      </c>
      <c r="AL43" s="4" t="s">
        <v>382</v>
      </c>
      <c r="AM43" s="4" t="s">
        <v>383</v>
      </c>
      <c r="AN43" s="4" t="s">
        <v>439</v>
      </c>
      <c r="AO43" s="4" t="s">
        <v>440</v>
      </c>
      <c r="AP43" s="4" t="s">
        <v>441</v>
      </c>
      <c r="AQ43" s="4" t="s">
        <v>442</v>
      </c>
      <c r="AR43" s="4" t="s">
        <v>443</v>
      </c>
      <c r="AS43" s="4" t="s">
        <v>444</v>
      </c>
      <c r="AT43" s="4" t="s">
        <v>445</v>
      </c>
      <c r="AU43" s="4" t="s">
        <v>446</v>
      </c>
      <c r="AV43" s="4" t="s">
        <v>400</v>
      </c>
      <c r="AW43" s="4" t="s">
        <v>401</v>
      </c>
      <c r="AX43" s="4" t="s">
        <v>402</v>
      </c>
      <c r="AY43" s="4" t="s">
        <v>403</v>
      </c>
      <c r="AZ43" s="4" t="s">
        <v>404</v>
      </c>
      <c r="BA43" s="4" t="s">
        <v>405</v>
      </c>
      <c r="BB43" s="4" t="s">
        <v>352</v>
      </c>
      <c r="BC43" s="4" t="s">
        <v>353</v>
      </c>
      <c r="BD43" s="4" t="s">
        <v>354</v>
      </c>
      <c r="BE43" s="4" t="s">
        <v>355</v>
      </c>
      <c r="BF43" s="4" t="s">
        <v>356</v>
      </c>
      <c r="BG43" s="4" t="s">
        <v>411</v>
      </c>
      <c r="BH43" s="4" t="s">
        <v>412</v>
      </c>
      <c r="BI43" s="4" t="s">
        <v>413</v>
      </c>
      <c r="BJ43" s="4" t="s">
        <v>414</v>
      </c>
      <c r="BK43" s="4" t="s">
        <v>415</v>
      </c>
    </row>
    <row r="44" spans="1:63">
      <c r="A44">
        <f t="shared" si="9"/>
        <v>11</v>
      </c>
      <c r="B44">
        <f t="shared" si="9"/>
        <v>2</v>
      </c>
      <c r="C44" t="str">
        <f t="shared" si="9"/>
        <v>IC04</v>
      </c>
      <c r="H44" t="str">
        <f t="shared" si="10"/>
        <v xml:space="preserve">          Accounting standards</v>
      </c>
      <c r="I44" s="4" t="s">
        <v>137</v>
      </c>
      <c r="J44" s="4" t="s">
        <v>138</v>
      </c>
      <c r="K44" s="4" t="s">
        <v>416</v>
      </c>
      <c r="L44" s="4" t="s">
        <v>417</v>
      </c>
      <c r="M44" s="4" t="s">
        <v>418</v>
      </c>
      <c r="N44" s="4" t="s">
        <v>419</v>
      </c>
      <c r="O44" s="4" t="s">
        <v>420</v>
      </c>
      <c r="P44" s="4" t="s">
        <v>421</v>
      </c>
      <c r="Q44" s="4" t="s">
        <v>139</v>
      </c>
      <c r="R44" s="4" t="s">
        <v>384</v>
      </c>
      <c r="S44" s="4" t="s">
        <v>385</v>
      </c>
      <c r="T44" s="4" t="s">
        <v>386</v>
      </c>
      <c r="U44" s="4" t="s">
        <v>387</v>
      </c>
      <c r="V44" s="4" t="s">
        <v>140</v>
      </c>
      <c r="W44" s="4" t="s">
        <v>141</v>
      </c>
      <c r="X44" s="4" t="s">
        <v>388</v>
      </c>
      <c r="Y44" s="4" t="s">
        <v>79</v>
      </c>
      <c r="Z44" s="4" t="s">
        <v>80</v>
      </c>
      <c r="AA44" s="4" t="s">
        <v>389</v>
      </c>
      <c r="AB44" s="4" t="s">
        <v>390</v>
      </c>
      <c r="AC44" s="4" t="s">
        <v>391</v>
      </c>
      <c r="AD44" s="4" t="s">
        <v>81</v>
      </c>
      <c r="AE44" s="4" t="s">
        <v>82</v>
      </c>
      <c r="AF44" s="4" t="s">
        <v>83</v>
      </c>
      <c r="AG44" s="4" t="s">
        <v>84</v>
      </c>
      <c r="AH44" s="4" t="s">
        <v>392</v>
      </c>
      <c r="AI44" s="4" t="s">
        <v>393</v>
      </c>
      <c r="AJ44" s="4" t="s">
        <v>85</v>
      </c>
      <c r="AK44" s="4" t="s">
        <v>394</v>
      </c>
      <c r="AL44" s="4" t="s">
        <v>86</v>
      </c>
      <c r="AM44" s="4" t="s">
        <v>395</v>
      </c>
      <c r="AN44" s="4" t="s">
        <v>396</v>
      </c>
      <c r="AO44" s="4" t="s">
        <v>397</v>
      </c>
      <c r="AP44" s="4" t="s">
        <v>87</v>
      </c>
      <c r="AQ44" s="4" t="s">
        <v>398</v>
      </c>
      <c r="AR44" s="4" t="s">
        <v>88</v>
      </c>
      <c r="AS44" s="4" t="s">
        <v>399</v>
      </c>
      <c r="AT44" s="4" t="s">
        <v>89</v>
      </c>
      <c r="AU44" s="4" t="s">
        <v>152</v>
      </c>
      <c r="AV44" s="4" t="s">
        <v>153</v>
      </c>
      <c r="AW44" s="4" t="s">
        <v>369</v>
      </c>
      <c r="AX44" s="4" t="s">
        <v>370</v>
      </c>
      <c r="AY44" s="4" t="s">
        <v>371</v>
      </c>
      <c r="AZ44" s="4" t="s">
        <v>372</v>
      </c>
      <c r="BA44" s="4" t="s">
        <v>154</v>
      </c>
      <c r="BB44" s="4" t="s">
        <v>155</v>
      </c>
      <c r="BC44" s="4" t="s">
        <v>373</v>
      </c>
      <c r="BD44" s="4" t="s">
        <v>374</v>
      </c>
      <c r="BE44" s="4" t="s">
        <v>375</v>
      </c>
      <c r="BF44" s="4" t="s">
        <v>156</v>
      </c>
      <c r="BG44" s="4" t="s">
        <v>157</v>
      </c>
      <c r="BH44" s="4" t="s">
        <v>158</v>
      </c>
      <c r="BI44" s="4" t="s">
        <v>159</v>
      </c>
      <c r="BJ44" s="4" t="s">
        <v>160</v>
      </c>
      <c r="BK44" s="4" t="s">
        <v>376</v>
      </c>
    </row>
    <row r="45" spans="1:63">
      <c r="A45">
        <f t="shared" si="9"/>
        <v>12</v>
      </c>
      <c r="B45">
        <f t="shared" si="9"/>
        <v>2</v>
      </c>
      <c r="C45" t="str">
        <f t="shared" si="9"/>
        <v>IC05</v>
      </c>
      <c r="H45" t="str">
        <f t="shared" si="10"/>
        <v xml:space="preserve">          Governance standards</v>
      </c>
      <c r="I45" s="4" t="s">
        <v>161</v>
      </c>
      <c r="J45" s="4" t="s">
        <v>377</v>
      </c>
      <c r="K45" s="4" t="s">
        <v>327</v>
      </c>
      <c r="L45" s="4" t="s">
        <v>328</v>
      </c>
      <c r="M45" s="4" t="s">
        <v>329</v>
      </c>
      <c r="N45" s="4" t="s">
        <v>330</v>
      </c>
      <c r="O45" s="4" t="s">
        <v>110</v>
      </c>
      <c r="P45" s="4" t="s">
        <v>111</v>
      </c>
      <c r="Q45" s="4" t="s">
        <v>112</v>
      </c>
      <c r="R45" s="4" t="s">
        <v>331</v>
      </c>
      <c r="S45" s="4" t="s">
        <v>113</v>
      </c>
      <c r="T45" s="4" t="s">
        <v>332</v>
      </c>
      <c r="U45" s="4" t="s">
        <v>357</v>
      </c>
      <c r="V45" s="4" t="s">
        <v>358</v>
      </c>
      <c r="W45" s="4" t="s">
        <v>114</v>
      </c>
      <c r="X45" s="4" t="s">
        <v>359</v>
      </c>
      <c r="Y45" s="4" t="s">
        <v>360</v>
      </c>
      <c r="Z45" s="4" t="s">
        <v>115</v>
      </c>
      <c r="AA45" s="4" t="s">
        <v>116</v>
      </c>
      <c r="AB45" s="4" t="s">
        <v>361</v>
      </c>
      <c r="AC45" s="4" t="s">
        <v>362</v>
      </c>
      <c r="AD45" s="4" t="s">
        <v>46</v>
      </c>
      <c r="AE45" s="4" t="s">
        <v>47</v>
      </c>
      <c r="AF45" s="4" t="s">
        <v>363</v>
      </c>
      <c r="AG45" s="4" t="s">
        <v>48</v>
      </c>
      <c r="AH45" s="4" t="s">
        <v>364</v>
      </c>
      <c r="AI45" s="4" t="s">
        <v>365</v>
      </c>
      <c r="AJ45" s="4" t="s">
        <v>49</v>
      </c>
      <c r="AK45" s="4" t="s">
        <v>366</v>
      </c>
      <c r="AL45" s="4" t="s">
        <v>50</v>
      </c>
      <c r="AM45" s="4" t="s">
        <v>51</v>
      </c>
      <c r="AN45" s="4" t="s">
        <v>52</v>
      </c>
      <c r="AO45" s="4" t="s">
        <v>367</v>
      </c>
      <c r="AP45" s="4" t="s">
        <v>53</v>
      </c>
      <c r="AQ45" s="4" t="s">
        <v>54</v>
      </c>
      <c r="AR45" s="4" t="s">
        <v>368</v>
      </c>
      <c r="AS45" s="4" t="s">
        <v>55</v>
      </c>
      <c r="AT45" s="4" t="s">
        <v>56</v>
      </c>
      <c r="AU45" s="4" t="s">
        <v>57</v>
      </c>
      <c r="AV45" s="4" t="s">
        <v>58</v>
      </c>
      <c r="AW45" s="4" t="s">
        <v>127</v>
      </c>
      <c r="AX45" s="4" t="s">
        <v>128</v>
      </c>
      <c r="AY45" s="4" t="s">
        <v>343</v>
      </c>
      <c r="AZ45" s="4" t="s">
        <v>129</v>
      </c>
      <c r="BA45" s="4" t="s">
        <v>130</v>
      </c>
      <c r="BB45" s="4" t="s">
        <v>344</v>
      </c>
      <c r="BC45" s="4" t="s">
        <v>131</v>
      </c>
      <c r="BD45" s="4" t="s">
        <v>132</v>
      </c>
      <c r="BE45" s="4" t="s">
        <v>345</v>
      </c>
      <c r="BF45" s="4" t="s">
        <v>346</v>
      </c>
      <c r="BG45" s="4" t="s">
        <v>347</v>
      </c>
      <c r="BH45" s="4" t="s">
        <v>348</v>
      </c>
      <c r="BI45" s="4" t="s">
        <v>349</v>
      </c>
      <c r="BJ45" s="4" t="s">
        <v>133</v>
      </c>
      <c r="BK45" s="4" t="s">
        <v>350</v>
      </c>
    </row>
    <row r="46" spans="1:63">
      <c r="A46">
        <f t="shared" si="9"/>
        <v>13</v>
      </c>
      <c r="B46">
        <f t="shared" si="9"/>
        <v>2</v>
      </c>
      <c r="C46" t="str">
        <f t="shared" si="9"/>
        <v>IC06</v>
      </c>
      <c r="H46" t="str">
        <f t="shared" si="10"/>
        <v xml:space="preserve">          MFI transparency</v>
      </c>
      <c r="I46" s="4" t="s">
        <v>134</v>
      </c>
      <c r="J46" s="4" t="s">
        <v>351</v>
      </c>
      <c r="K46" s="4" t="s">
        <v>294</v>
      </c>
      <c r="L46" s="4" t="s">
        <v>295</v>
      </c>
      <c r="M46" s="4" t="s">
        <v>296</v>
      </c>
      <c r="N46" s="4" t="s">
        <v>297</v>
      </c>
      <c r="O46" s="4" t="s">
        <v>298</v>
      </c>
      <c r="P46" s="4" t="s">
        <v>135</v>
      </c>
      <c r="Q46" s="4" t="s">
        <v>71</v>
      </c>
      <c r="R46" s="4" t="s">
        <v>254</v>
      </c>
      <c r="S46" s="4" t="s">
        <v>255</v>
      </c>
      <c r="T46" s="4" t="s">
        <v>256</v>
      </c>
      <c r="U46" s="4" t="s">
        <v>72</v>
      </c>
      <c r="V46" s="4" t="s">
        <v>257</v>
      </c>
      <c r="W46" s="4" t="s">
        <v>73</v>
      </c>
      <c r="X46" s="4" t="s">
        <v>258</v>
      </c>
      <c r="Y46" s="4" t="s">
        <v>333</v>
      </c>
      <c r="Z46" s="4" t="s">
        <v>74</v>
      </c>
      <c r="AA46" s="4" t="s">
        <v>334</v>
      </c>
      <c r="AB46" s="4" t="s">
        <v>335</v>
      </c>
      <c r="AC46" s="4" t="s">
        <v>336</v>
      </c>
      <c r="AD46" s="4" t="s">
        <v>75</v>
      </c>
      <c r="AE46" s="4" t="s">
        <v>76</v>
      </c>
      <c r="AF46" s="4" t="s">
        <v>77</v>
      </c>
      <c r="AG46" s="4" t="s">
        <v>78</v>
      </c>
      <c r="AH46" s="4" t="s">
        <v>337</v>
      </c>
      <c r="AI46" s="4" t="s">
        <v>13</v>
      </c>
      <c r="AJ46" s="4" t="s">
        <v>338</v>
      </c>
      <c r="AK46" s="4" t="s">
        <v>339</v>
      </c>
      <c r="AL46" s="4" t="s">
        <v>14</v>
      </c>
      <c r="AM46" s="4" t="s">
        <v>340</v>
      </c>
      <c r="AN46" s="4" t="s">
        <v>15</v>
      </c>
      <c r="AO46" s="4" t="s">
        <v>341</v>
      </c>
      <c r="AP46" s="4" t="s">
        <v>16</v>
      </c>
      <c r="AQ46" s="4" t="s">
        <v>17</v>
      </c>
      <c r="AR46" s="4" t="s">
        <v>342</v>
      </c>
      <c r="AS46" s="4" t="s">
        <v>304</v>
      </c>
      <c r="AT46" s="4" t="s">
        <v>18</v>
      </c>
      <c r="AU46" s="4" t="s">
        <v>19</v>
      </c>
      <c r="AV46" s="4" t="s">
        <v>305</v>
      </c>
      <c r="AW46" s="4" t="s">
        <v>306</v>
      </c>
      <c r="AX46" s="4" t="s">
        <v>307</v>
      </c>
      <c r="AY46" s="4" t="s">
        <v>20</v>
      </c>
      <c r="AZ46" s="4" t="s">
        <v>308</v>
      </c>
      <c r="BA46" s="4" t="s">
        <v>21</v>
      </c>
      <c r="BB46" s="4" t="s">
        <v>22</v>
      </c>
      <c r="BC46" s="4" t="s">
        <v>23</v>
      </c>
      <c r="BD46" s="4" t="s">
        <v>90</v>
      </c>
      <c r="BE46" s="4" t="s">
        <v>309</v>
      </c>
      <c r="BF46" s="4" t="s">
        <v>310</v>
      </c>
      <c r="BG46" s="4" t="s">
        <v>91</v>
      </c>
      <c r="BH46" s="4" t="s">
        <v>311</v>
      </c>
      <c r="BI46" s="4" t="s">
        <v>312</v>
      </c>
      <c r="BJ46" s="4" t="s">
        <v>92</v>
      </c>
      <c r="BK46" s="4" t="s">
        <v>313</v>
      </c>
    </row>
    <row r="47" spans="1:63">
      <c r="A47">
        <f t="shared" si="9"/>
        <v>14</v>
      </c>
      <c r="B47">
        <f t="shared" si="9"/>
        <v>1</v>
      </c>
      <c r="C47" t="str">
        <f t="shared" si="9"/>
        <v>ID00</v>
      </c>
      <c r="H47" t="str">
        <f t="shared" si="10"/>
        <v xml:space="preserve">     Institutional Development</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v>0</v>
      </c>
      <c r="BG47" s="4">
        <v>0</v>
      </c>
      <c r="BH47" s="4">
        <v>0</v>
      </c>
      <c r="BI47" s="4">
        <v>0</v>
      </c>
      <c r="BJ47" s="4">
        <v>0</v>
      </c>
      <c r="BK47" s="4">
        <v>0</v>
      </c>
    </row>
    <row r="48" spans="1:63">
      <c r="A48">
        <f t="shared" si="9"/>
        <v>15</v>
      </c>
      <c r="B48">
        <f t="shared" si="9"/>
        <v>2</v>
      </c>
      <c r="C48" t="str">
        <f t="shared" si="9"/>
        <v>ID01</v>
      </c>
      <c r="H48" t="str">
        <f t="shared" si="10"/>
        <v xml:space="preserve">          Range of MFI Services</v>
      </c>
      <c r="I48" s="4" t="s">
        <v>93</v>
      </c>
      <c r="J48" s="4" t="s">
        <v>314</v>
      </c>
      <c r="K48" s="4" t="s">
        <v>315</v>
      </c>
      <c r="L48" s="4" t="s">
        <v>316</v>
      </c>
      <c r="M48" s="4" t="s">
        <v>317</v>
      </c>
      <c r="N48" s="4" t="s">
        <v>318</v>
      </c>
      <c r="O48" s="4" t="s">
        <v>319</v>
      </c>
      <c r="P48" s="4" t="s">
        <v>320</v>
      </c>
      <c r="Q48" s="4" t="s">
        <v>94</v>
      </c>
      <c r="R48" s="4" t="s">
        <v>321</v>
      </c>
      <c r="S48" s="4" t="s">
        <v>95</v>
      </c>
      <c r="T48" s="4" t="s">
        <v>96</v>
      </c>
      <c r="U48" s="4" t="s">
        <v>322</v>
      </c>
      <c r="V48" s="4" t="s">
        <v>323</v>
      </c>
      <c r="W48" s="4" t="s">
        <v>97</v>
      </c>
      <c r="X48" s="4" t="s">
        <v>324</v>
      </c>
      <c r="Y48" s="4" t="s">
        <v>325</v>
      </c>
      <c r="Z48" s="4" t="s">
        <v>98</v>
      </c>
      <c r="AA48" s="4" t="s">
        <v>326</v>
      </c>
      <c r="AB48" s="4" t="s">
        <v>99</v>
      </c>
      <c r="AC48" s="4" t="s">
        <v>279</v>
      </c>
      <c r="AD48" s="4" t="s">
        <v>280</v>
      </c>
      <c r="AE48" s="4" t="s">
        <v>100</v>
      </c>
      <c r="AF48" s="4" t="s">
        <v>101</v>
      </c>
      <c r="AG48" s="4" t="s">
        <v>281</v>
      </c>
      <c r="AH48" s="4" t="s">
        <v>282</v>
      </c>
      <c r="AI48" s="4" t="s">
        <v>283</v>
      </c>
      <c r="AJ48" s="4" t="s">
        <v>284</v>
      </c>
      <c r="AK48" s="4" t="s">
        <v>285</v>
      </c>
      <c r="AL48" s="4" t="s">
        <v>102</v>
      </c>
      <c r="AM48" s="4" t="s">
        <v>286</v>
      </c>
      <c r="AN48" s="4" t="s">
        <v>287</v>
      </c>
      <c r="AO48" s="4" t="s">
        <v>103</v>
      </c>
      <c r="AP48" s="4" t="s">
        <v>104</v>
      </c>
      <c r="AQ48" s="4" t="s">
        <v>288</v>
      </c>
      <c r="AR48" s="4" t="s">
        <v>289</v>
      </c>
      <c r="AS48" s="4" t="s">
        <v>290</v>
      </c>
      <c r="AT48" s="4" t="s">
        <v>105</v>
      </c>
      <c r="AU48" s="4" t="s">
        <v>106</v>
      </c>
      <c r="AV48" s="4" t="s">
        <v>291</v>
      </c>
      <c r="AW48" s="4" t="s">
        <v>292</v>
      </c>
      <c r="AX48" s="4" t="s">
        <v>293</v>
      </c>
      <c r="AY48" s="4" t="s">
        <v>212</v>
      </c>
      <c r="AZ48" s="4" t="s">
        <v>213</v>
      </c>
      <c r="BA48" s="4" t="s">
        <v>107</v>
      </c>
      <c r="BB48" s="4" t="s">
        <v>108</v>
      </c>
      <c r="BC48" s="4" t="s">
        <v>109</v>
      </c>
      <c r="BD48" s="4" t="s">
        <v>39</v>
      </c>
      <c r="BE48" s="4" t="s">
        <v>214</v>
      </c>
      <c r="BF48" s="4" t="s">
        <v>215</v>
      </c>
      <c r="BG48" s="4" t="s">
        <v>216</v>
      </c>
      <c r="BH48" s="4" t="s">
        <v>40</v>
      </c>
      <c r="BI48" s="4" t="s">
        <v>217</v>
      </c>
      <c r="BJ48" s="4" t="s">
        <v>41</v>
      </c>
      <c r="BK48" s="4" t="s">
        <v>218</v>
      </c>
    </row>
    <row r="49" spans="1:63">
      <c r="A49">
        <f t="shared" si="9"/>
        <v>16</v>
      </c>
      <c r="B49">
        <f t="shared" si="9"/>
        <v>2</v>
      </c>
      <c r="C49" t="str">
        <f t="shared" si="9"/>
        <v>ID02</v>
      </c>
      <c r="H49" t="str">
        <f t="shared" si="10"/>
        <v xml:space="preserve">          Credit bureaus</v>
      </c>
      <c r="I49" s="4" t="s">
        <v>42</v>
      </c>
      <c r="J49" s="4" t="s">
        <v>219</v>
      </c>
      <c r="K49" s="4" t="s">
        <v>299</v>
      </c>
      <c r="L49" s="4" t="s">
        <v>300</v>
      </c>
      <c r="M49" s="4" t="s">
        <v>301</v>
      </c>
      <c r="N49" s="4" t="s">
        <v>302</v>
      </c>
      <c r="O49" s="4" t="s">
        <v>303</v>
      </c>
      <c r="P49" s="4" t="s">
        <v>43</v>
      </c>
      <c r="Q49" s="4" t="s">
        <v>44</v>
      </c>
      <c r="R49" s="4" t="s">
        <v>265</v>
      </c>
      <c r="S49" s="4" t="s">
        <v>45</v>
      </c>
      <c r="T49" s="4" t="s">
        <v>266</v>
      </c>
      <c r="U49" s="4" t="s">
        <v>1</v>
      </c>
      <c r="V49" s="4" t="s">
        <v>2</v>
      </c>
      <c r="W49" s="4" t="s">
        <v>267</v>
      </c>
      <c r="X49" s="4" t="s">
        <v>268</v>
      </c>
      <c r="Y49" s="4" t="s">
        <v>269</v>
      </c>
      <c r="Z49" s="4" t="s">
        <v>270</v>
      </c>
      <c r="AA49" s="4" t="s">
        <v>3</v>
      </c>
      <c r="AB49" s="190" t="s">
        <v>4</v>
      </c>
      <c r="AC49" s="4" t="s">
        <v>5</v>
      </c>
      <c r="AD49" s="4" t="s">
        <v>6</v>
      </c>
      <c r="AE49" s="4" t="s">
        <v>7</v>
      </c>
      <c r="AF49" s="4" t="s">
        <v>8</v>
      </c>
      <c r="AG49" s="4" t="s">
        <v>9</v>
      </c>
      <c r="AH49" s="4" t="s">
        <v>271</v>
      </c>
      <c r="AI49" s="4" t="s">
        <v>272</v>
      </c>
      <c r="AJ49" s="4" t="s">
        <v>273</v>
      </c>
      <c r="AK49" s="4" t="s">
        <v>274</v>
      </c>
      <c r="AL49" s="4" t="s">
        <v>10</v>
      </c>
      <c r="AM49" s="4" t="s">
        <v>275</v>
      </c>
      <c r="AN49" s="4" t="s">
        <v>276</v>
      </c>
      <c r="AO49" s="4" t="s">
        <v>277</v>
      </c>
      <c r="AP49" s="4" t="s">
        <v>11</v>
      </c>
      <c r="AQ49" s="4" t="s">
        <v>12</v>
      </c>
      <c r="AR49" s="4" t="s">
        <v>278</v>
      </c>
      <c r="AS49" s="4" t="s">
        <v>59</v>
      </c>
      <c r="AT49" s="4" t="s">
        <v>60</v>
      </c>
      <c r="AU49" s="4" t="s">
        <v>61</v>
      </c>
      <c r="AV49" s="4" t="s">
        <v>62</v>
      </c>
      <c r="AW49" s="4" t="s">
        <v>63</v>
      </c>
      <c r="AX49" s="4" t="s">
        <v>243</v>
      </c>
      <c r="AY49" s="4" t="s">
        <v>244</v>
      </c>
      <c r="AZ49" s="4" t="s">
        <v>245</v>
      </c>
      <c r="BA49" s="4" t="s">
        <v>64</v>
      </c>
      <c r="BB49" s="4" t="s">
        <v>246</v>
      </c>
      <c r="BC49" s="4" t="s">
        <v>247</v>
      </c>
      <c r="BD49" s="4" t="s">
        <v>248</v>
      </c>
      <c r="BE49" s="4" t="s">
        <v>249</v>
      </c>
      <c r="BF49" s="4" t="s">
        <v>250</v>
      </c>
      <c r="BG49" s="4" t="s">
        <v>251</v>
      </c>
      <c r="BH49" s="4" t="s">
        <v>65</v>
      </c>
      <c r="BI49" s="4" t="s">
        <v>66</v>
      </c>
      <c r="BJ49" s="4" t="s">
        <v>67</v>
      </c>
      <c r="BK49" s="4" t="s">
        <v>252</v>
      </c>
    </row>
    <row r="50" spans="1:63">
      <c r="A50">
        <f t="shared" si="9"/>
        <v>17</v>
      </c>
      <c r="B50">
        <f t="shared" si="9"/>
        <v>2</v>
      </c>
      <c r="C50" t="str">
        <f t="shared" si="9"/>
        <v>ID03</v>
      </c>
      <c r="H50" t="str">
        <f t="shared" si="10"/>
        <v xml:space="preserve">          Level of competition</v>
      </c>
      <c r="I50" s="4" t="s">
        <v>68</v>
      </c>
      <c r="J50" s="4" t="s">
        <v>69</v>
      </c>
      <c r="K50" s="4" t="s">
        <v>253</v>
      </c>
      <c r="L50" s="4" t="s">
        <v>70</v>
      </c>
      <c r="M50" s="4" t="s">
        <v>204</v>
      </c>
      <c r="N50" s="4" t="s">
        <v>24</v>
      </c>
      <c r="O50" s="4" t="s">
        <v>205</v>
      </c>
      <c r="P50" s="4" t="s">
        <v>25</v>
      </c>
      <c r="Q50" s="4" t="s">
        <v>206</v>
      </c>
      <c r="R50" s="4" t="s">
        <v>207</v>
      </c>
      <c r="S50" s="4" t="s">
        <v>208</v>
      </c>
      <c r="T50" s="4" t="s">
        <v>209</v>
      </c>
      <c r="U50" s="4" t="s">
        <v>210</v>
      </c>
      <c r="V50" s="4" t="s">
        <v>211</v>
      </c>
      <c r="W50" s="4" t="s">
        <v>26</v>
      </c>
      <c r="X50" s="4" t="s">
        <v>259</v>
      </c>
      <c r="Y50" s="4" t="s">
        <v>260</v>
      </c>
      <c r="Z50" s="4" t="s">
        <v>27</v>
      </c>
      <c r="AA50" s="4" t="s">
        <v>28</v>
      </c>
      <c r="AB50" s="4" t="s">
        <v>37</v>
      </c>
      <c r="AC50" s="4" t="s">
        <v>261</v>
      </c>
      <c r="AD50" s="4" t="s">
        <v>262</v>
      </c>
      <c r="AE50" s="4" t="s">
        <v>263</v>
      </c>
      <c r="AF50" s="4" t="s">
        <v>29</v>
      </c>
      <c r="AG50" s="4" t="s">
        <v>264</v>
      </c>
      <c r="AH50" s="4" t="s">
        <v>220</v>
      </c>
      <c r="AI50" s="4" t="s">
        <v>221</v>
      </c>
      <c r="AJ50" s="4" t="s">
        <v>30</v>
      </c>
      <c r="AK50" s="4" t="s">
        <v>222</v>
      </c>
      <c r="AL50" s="4" t="s">
        <v>223</v>
      </c>
      <c r="AM50" s="4" t="s">
        <v>224</v>
      </c>
      <c r="AN50" s="4" t="s">
        <v>225</v>
      </c>
      <c r="AO50" s="4" t="s">
        <v>226</v>
      </c>
      <c r="AP50" s="4" t="s">
        <v>227</v>
      </c>
      <c r="AQ50" s="4" t="s">
        <v>228</v>
      </c>
      <c r="AR50" s="4" t="s">
        <v>229</v>
      </c>
      <c r="AS50" s="4" t="s">
        <v>31</v>
      </c>
      <c r="AT50" s="4" t="s">
        <v>230</v>
      </c>
      <c r="AU50" s="4" t="s">
        <v>231</v>
      </c>
      <c r="AV50" s="4" t="s">
        <v>232</v>
      </c>
      <c r="AW50" s="4" t="s">
        <v>233</v>
      </c>
      <c r="AX50" s="4" t="s">
        <v>234</v>
      </c>
      <c r="AY50" s="4" t="s">
        <v>235</v>
      </c>
      <c r="AZ50" s="4" t="s">
        <v>236</v>
      </c>
      <c r="BA50" s="4" t="s">
        <v>32</v>
      </c>
      <c r="BB50" s="4" t="s">
        <v>237</v>
      </c>
      <c r="BC50" s="4" t="s">
        <v>238</v>
      </c>
      <c r="BD50" s="4" t="s">
        <v>239</v>
      </c>
      <c r="BE50" s="4" t="s">
        <v>33</v>
      </c>
      <c r="BF50" s="4" t="s">
        <v>34</v>
      </c>
      <c r="BG50" s="4" t="s">
        <v>240</v>
      </c>
      <c r="BH50" s="4" t="s">
        <v>35</v>
      </c>
      <c r="BI50" s="4" t="s">
        <v>36</v>
      </c>
      <c r="BJ50" s="4" t="s">
        <v>241</v>
      </c>
      <c r="BK50" s="4" t="s">
        <v>242</v>
      </c>
    </row>
    <row r="51" spans="1:63">
      <c r="A51">
        <f t="shared" si="9"/>
        <v>18</v>
      </c>
      <c r="B51">
        <f t="shared" si="9"/>
        <v>4</v>
      </c>
      <c r="C51" t="str">
        <f t="shared" si="9"/>
        <v>DEP01</v>
      </c>
      <c r="H51" t="str">
        <f t="shared" si="10"/>
        <v>MFI clients as % of population</v>
      </c>
      <c r="I51" s="4" t="str">
        <f>IF(ISERROR(#REF!),"",INDEX($I54:$AB54,#REF!))</f>
        <v/>
      </c>
      <c r="J51" s="4" t="str">
        <f>IF(ISERROR(#REF!),"",INDEX($I54:$AB54,#REF!))</f>
        <v/>
      </c>
      <c r="K51" s="4" t="str">
        <f>IF(ISERROR(#REF!),"",INDEX($I54:$AB54,#REF!))</f>
        <v/>
      </c>
      <c r="L51" s="4" t="str">
        <f>IF(ISERROR(#REF!),"",INDEX($I54:$AB54,#REF!))</f>
        <v/>
      </c>
      <c r="M51" s="4" t="str">
        <f>IF(ISERROR(#REF!),"",INDEX($I54:$AB54,#REF!))</f>
        <v/>
      </c>
      <c r="N51" s="4" t="str">
        <f>IF(ISERROR(#REF!),"",INDEX($I54:$AB54,#REF!))</f>
        <v/>
      </c>
      <c r="O51" s="4" t="str">
        <f>IF(ISERROR(#REF!),"",INDEX($I54:$AB54,#REF!))</f>
        <v/>
      </c>
      <c r="P51" s="4" t="str">
        <f>IF(ISERROR(#REF!),"",INDEX($I54:$AB54,#REF!))</f>
        <v/>
      </c>
      <c r="Q51" s="4" t="str">
        <f>IF(ISERROR(#REF!),"",INDEX($I54:$AB54,#REF!))</f>
        <v/>
      </c>
      <c r="R51" s="4" t="str">
        <f>IF(ISERROR(#REF!),"",INDEX($I54:$AB54,#REF!))</f>
        <v/>
      </c>
      <c r="S51" s="4" t="str">
        <f>IF(ISERROR(#REF!),"",INDEX($I54:$AB54,#REF!))</f>
        <v/>
      </c>
      <c r="T51" s="4" t="str">
        <f>IF(ISERROR(#REF!),"",INDEX($I54:$AB54,#REF!))</f>
        <v/>
      </c>
      <c r="U51" s="4" t="str">
        <f>IF(ISERROR(#REF!),"",INDEX($I54:$AB54,#REF!))</f>
        <v/>
      </c>
      <c r="V51" s="4" t="str">
        <f>IF(ISERROR(#REF!),"",INDEX($I54:$AB54,#REF!))</f>
        <v/>
      </c>
      <c r="W51" s="4" t="str">
        <f>IF(ISERROR(#REF!),"",INDEX($I54:$AB54,#REF!))</f>
        <v/>
      </c>
      <c r="X51" s="4" t="str">
        <f>IF(ISERROR(#REF!),"",INDEX($I54:$AB54,#REF!))</f>
        <v/>
      </c>
      <c r="Y51" s="4" t="str">
        <f>IF(ISERROR(#REF!),"",INDEX($I54:$AB54,#REF!))</f>
        <v/>
      </c>
      <c r="Z51" s="4" t="str">
        <f>IF(ISERROR(#REF!),"",INDEX($I54:$AB54,#REF!))</f>
        <v/>
      </c>
      <c r="AA51" s="4" t="str">
        <f>IF(ISERROR(#REF!),"",INDEX($I54:$AB54,#REF!))</f>
        <v/>
      </c>
      <c r="AB51" s="4" t="str">
        <f>IF(ISERROR(#REF!),"",INDEX($I54:$AB54,#REF!))</f>
        <v/>
      </c>
      <c r="AC51" s="4" t="str">
        <f>IF(ISERROR(#REF!),"",INDEX($I54:$AB54,#REF!))</f>
        <v/>
      </c>
      <c r="AD51" s="4" t="str">
        <f>IF(ISERROR(#REF!),"",INDEX($I54:$AB54,#REF!))</f>
        <v/>
      </c>
      <c r="AE51" s="4" t="str">
        <f>IF(ISERROR(#REF!),"",INDEX($I54:$AB54,#REF!))</f>
        <v/>
      </c>
      <c r="AF51" s="4" t="str">
        <f>IF(ISERROR(#REF!),"",INDEX($I54:$AB54,#REF!))</f>
        <v/>
      </c>
      <c r="AG51" s="4" t="str">
        <f>IF(ISERROR(#REF!),"",INDEX($I54:$AB54,#REF!))</f>
        <v/>
      </c>
      <c r="AH51" s="4" t="str">
        <f>IF(ISERROR(#REF!),"",INDEX($I54:$AB54,#REF!))</f>
        <v/>
      </c>
      <c r="AI51" s="4" t="str">
        <f>IF(ISERROR(#REF!),"",INDEX($I54:$AB54,#REF!))</f>
        <v/>
      </c>
      <c r="AJ51" s="4" t="str">
        <f>IF(ISERROR(#REF!),"",INDEX($I54:$AB54,#REF!))</f>
        <v/>
      </c>
      <c r="AK51" s="4" t="str">
        <f>IF(ISERROR(#REF!),"",INDEX($I54:$AB54,#REF!))</f>
        <v/>
      </c>
      <c r="AL51" s="4" t="str">
        <f>IF(ISERROR(#REF!),"",INDEX($I54:$AB54,#REF!))</f>
        <v/>
      </c>
      <c r="AM51" s="4" t="str">
        <f>IF(ISERROR(#REF!),"",INDEX($I54:$AB54,#REF!))</f>
        <v/>
      </c>
      <c r="AN51" s="4" t="str">
        <f>IF(ISERROR(#REF!),"",INDEX($I54:$AB54,#REF!))</f>
        <v/>
      </c>
      <c r="AO51" s="4" t="str">
        <f>IF(ISERROR(#REF!),"",INDEX($I54:$AB54,#REF!))</f>
        <v/>
      </c>
      <c r="AP51" s="4" t="str">
        <f>IF(ISERROR(#REF!),"",INDEX($I54:$AB54,#REF!))</f>
        <v/>
      </c>
      <c r="AQ51" s="4" t="str">
        <f>IF(ISERROR(#REF!),"",INDEX($I54:$AB54,#REF!))</f>
        <v/>
      </c>
      <c r="AR51" s="4" t="str">
        <f>IF(ISERROR(#REF!),"",INDEX($I54:$AB54,#REF!))</f>
        <v/>
      </c>
      <c r="AS51" s="4" t="str">
        <f>IF(ISERROR(#REF!),"",INDEX($I54:$AB54,#REF!))</f>
        <v/>
      </c>
      <c r="AT51" s="4" t="str">
        <f>IF(ISERROR(#REF!),"",INDEX($I54:$AB54,#REF!))</f>
        <v/>
      </c>
      <c r="AU51" s="4" t="str">
        <f>IF(ISERROR(#REF!),"",INDEX($I54:$AB54,#REF!))</f>
        <v/>
      </c>
      <c r="AV51" s="4" t="str">
        <f>IF(ISERROR(#REF!),"",INDEX($I54:$AB54,#REF!))</f>
        <v/>
      </c>
      <c r="AW51" s="4" t="str">
        <f>IF(ISERROR(#REF!),"",INDEX($I54:$AB54,#REF!))</f>
        <v/>
      </c>
      <c r="AX51" s="4" t="str">
        <f>IF(ISERROR(#REF!),"",INDEX($I54:$AB54,#REF!))</f>
        <v/>
      </c>
      <c r="AY51" s="4" t="str">
        <f>IF(ISERROR(#REF!),"",INDEX($I54:$AB54,#REF!))</f>
        <v/>
      </c>
      <c r="AZ51" s="4" t="str">
        <f>IF(ISERROR(#REF!),"",INDEX($I54:$AB54,#REF!))</f>
        <v/>
      </c>
      <c r="BA51" s="4" t="str">
        <f>IF(ISERROR(#REF!),"",INDEX($I54:$AB54,#REF!))</f>
        <v/>
      </c>
      <c r="BB51" s="4" t="str">
        <f>IF(ISERROR(#REF!),"",INDEX($I54:$AB54,#REF!))</f>
        <v/>
      </c>
      <c r="BC51" s="4" t="str">
        <f>IF(ISERROR(#REF!),"",INDEX($I54:$AB54,#REF!))</f>
        <v/>
      </c>
      <c r="BD51" s="4" t="str">
        <f>IF(ISERROR(#REF!),"",INDEX($I54:$AB54,#REF!))</f>
        <v/>
      </c>
      <c r="BE51" s="4" t="str">
        <f>IF(ISERROR(#REF!),"",INDEX($I54:$AB54,#REF!))</f>
        <v/>
      </c>
      <c r="BF51" s="4" t="str">
        <f>IF(ISERROR(#REF!),"",INDEX($I54:$AB54,#REF!))</f>
        <v/>
      </c>
      <c r="BG51" s="4" t="str">
        <f>IF(ISERROR(#REF!),"",INDEX($I54:$AB54,#REF!))</f>
        <v/>
      </c>
      <c r="BH51" s="4" t="str">
        <f>IF(ISERROR(#REF!),"",INDEX($I54:$AB54,#REF!))</f>
        <v/>
      </c>
      <c r="BI51" s="4" t="str">
        <f>IF(ISERROR(#REF!),"",INDEX($I54:$AB54,#REF!))</f>
        <v/>
      </c>
      <c r="BJ51" s="4" t="str">
        <f>IF(ISERROR(#REF!),"",INDEX($I54:$AB54,#REF!))</f>
        <v/>
      </c>
      <c r="BK51" s="4" t="str">
        <f>IF(ISERROR(#REF!),"",INDEX($I54:$AB54,#REF!))</f>
        <v/>
      </c>
    </row>
    <row r="52" spans="1:63">
      <c r="A52">
        <f t="shared" si="9"/>
        <v>19</v>
      </c>
      <c r="B52">
        <f t="shared" si="9"/>
        <v>4</v>
      </c>
      <c r="C52" t="str">
        <f t="shared" si="9"/>
        <v>DEP02</v>
      </c>
      <c r="H52" t="str">
        <f t="shared" si="10"/>
        <v>MFI clients as % of microenterprises</v>
      </c>
      <c r="I52" s="4" t="str">
        <f>IF(ISERROR(#REF!),"",INDEX($I55:$AB55,#REF!))</f>
        <v/>
      </c>
      <c r="J52" s="4" t="str">
        <f>IF(ISERROR(#REF!),"",INDEX($I55:$AB55,#REF!))</f>
        <v/>
      </c>
      <c r="K52" s="4" t="str">
        <f>IF(ISERROR(#REF!),"",INDEX($I55:$AB55,#REF!))</f>
        <v/>
      </c>
      <c r="L52" s="4" t="str">
        <f>IF(ISERROR(#REF!),"",INDEX($I55:$AB55,#REF!))</f>
        <v/>
      </c>
      <c r="M52" s="4" t="str">
        <f>IF(ISERROR(#REF!),"",INDEX($I55:$AB55,#REF!))</f>
        <v/>
      </c>
      <c r="N52" s="4" t="str">
        <f>IF(ISERROR(#REF!),"",INDEX($I55:$AB55,#REF!))</f>
        <v/>
      </c>
      <c r="O52" s="4" t="str">
        <f>IF(ISERROR(#REF!),"",INDEX($I55:$AB55,#REF!))</f>
        <v/>
      </c>
      <c r="P52" s="4" t="str">
        <f>IF(ISERROR(#REF!),"",INDEX($I55:$AB55,#REF!))</f>
        <v/>
      </c>
      <c r="Q52" s="4" t="str">
        <f>IF(ISERROR(#REF!),"",INDEX($I55:$AB55,#REF!))</f>
        <v/>
      </c>
      <c r="R52" s="4" t="str">
        <f>IF(ISERROR(#REF!),"",INDEX($I55:$AB55,#REF!))</f>
        <v/>
      </c>
      <c r="S52" s="4" t="str">
        <f>IF(ISERROR(#REF!),"",INDEX($I55:$AB55,#REF!))</f>
        <v/>
      </c>
      <c r="T52" s="4" t="str">
        <f>IF(ISERROR(#REF!),"",INDEX($I55:$AB55,#REF!))</f>
        <v/>
      </c>
      <c r="U52" s="4" t="str">
        <f>IF(ISERROR(#REF!),"",INDEX($I55:$AB55,#REF!))</f>
        <v/>
      </c>
      <c r="V52" s="4" t="str">
        <f>IF(ISERROR(#REF!),"",INDEX($I55:$AB55,#REF!))</f>
        <v/>
      </c>
      <c r="W52" s="4" t="str">
        <f>IF(ISERROR(#REF!),"",INDEX($I55:$AB55,#REF!))</f>
        <v/>
      </c>
      <c r="X52" s="4" t="str">
        <f>IF(ISERROR(#REF!),"",INDEX($I55:$AB55,#REF!))</f>
        <v/>
      </c>
      <c r="Y52" s="4" t="str">
        <f>IF(ISERROR(#REF!),"",INDEX($I55:$AB55,#REF!))</f>
        <v/>
      </c>
      <c r="Z52" s="4" t="str">
        <f>IF(ISERROR(#REF!),"",INDEX($I55:$AB55,#REF!))</f>
        <v/>
      </c>
      <c r="AA52" s="4" t="str">
        <f>IF(ISERROR(#REF!),"",INDEX($I55:$AB55,#REF!))</f>
        <v/>
      </c>
      <c r="AB52" s="4" t="str">
        <f>IF(ISERROR(#REF!),"",INDEX($I55:$AB55,#REF!))</f>
        <v/>
      </c>
      <c r="AC52" s="4" t="str">
        <f>IF(ISERROR(#REF!),"",INDEX($I55:$AB55,#REF!))</f>
        <v/>
      </c>
      <c r="AD52" s="4" t="str">
        <f>IF(ISERROR(#REF!),"",INDEX($I55:$AB55,#REF!))</f>
        <v/>
      </c>
      <c r="AE52" s="4" t="str">
        <f>IF(ISERROR(#REF!),"",INDEX($I55:$AB55,#REF!))</f>
        <v/>
      </c>
      <c r="AF52" s="4" t="str">
        <f>IF(ISERROR(#REF!),"",INDEX($I55:$AB55,#REF!))</f>
        <v/>
      </c>
      <c r="AG52" s="4" t="str">
        <f>IF(ISERROR(#REF!),"",INDEX($I55:$AB55,#REF!))</f>
        <v/>
      </c>
      <c r="AH52" s="4" t="str">
        <f>IF(ISERROR(#REF!),"",INDEX($I55:$AB55,#REF!))</f>
        <v/>
      </c>
      <c r="AI52" s="4" t="str">
        <f>IF(ISERROR(#REF!),"",INDEX($I55:$AB55,#REF!))</f>
        <v/>
      </c>
      <c r="AJ52" s="4" t="str">
        <f>IF(ISERROR(#REF!),"",INDEX($I55:$AB55,#REF!))</f>
        <v/>
      </c>
      <c r="AK52" s="4" t="str">
        <f>IF(ISERROR(#REF!),"",INDEX($I55:$AB55,#REF!))</f>
        <v/>
      </c>
      <c r="AL52" s="4" t="str">
        <f>IF(ISERROR(#REF!),"",INDEX($I55:$AB55,#REF!))</f>
        <v/>
      </c>
      <c r="AM52" s="4" t="str">
        <f>IF(ISERROR(#REF!),"",INDEX($I55:$AB55,#REF!))</f>
        <v/>
      </c>
      <c r="AN52" s="4" t="str">
        <f>IF(ISERROR(#REF!),"",INDEX($I55:$AB55,#REF!))</f>
        <v/>
      </c>
      <c r="AO52" s="4" t="str">
        <f>IF(ISERROR(#REF!),"",INDEX($I55:$AB55,#REF!))</f>
        <v/>
      </c>
      <c r="AP52" s="4" t="str">
        <f>IF(ISERROR(#REF!),"",INDEX($I55:$AB55,#REF!))</f>
        <v/>
      </c>
      <c r="AQ52" s="4" t="str">
        <f>IF(ISERROR(#REF!),"",INDEX($I55:$AB55,#REF!))</f>
        <v/>
      </c>
      <c r="AR52" s="4" t="str">
        <f>IF(ISERROR(#REF!),"",INDEX($I55:$AB55,#REF!))</f>
        <v/>
      </c>
      <c r="AS52" s="4" t="str">
        <f>IF(ISERROR(#REF!),"",INDEX($I55:$AB55,#REF!))</f>
        <v/>
      </c>
      <c r="AT52" s="4" t="str">
        <f>IF(ISERROR(#REF!),"",INDEX($I55:$AB55,#REF!))</f>
        <v/>
      </c>
      <c r="AU52" s="4" t="str">
        <f>IF(ISERROR(#REF!),"",INDEX($I55:$AB55,#REF!))</f>
        <v/>
      </c>
      <c r="AV52" s="4" t="str">
        <f>IF(ISERROR(#REF!),"",INDEX($I55:$AB55,#REF!))</f>
        <v/>
      </c>
      <c r="AW52" s="4" t="str">
        <f>IF(ISERROR(#REF!),"",INDEX($I55:$AB55,#REF!))</f>
        <v/>
      </c>
      <c r="AX52" s="4" t="str">
        <f>IF(ISERROR(#REF!),"",INDEX($I55:$AB55,#REF!))</f>
        <v/>
      </c>
      <c r="AY52" s="4" t="str">
        <f>IF(ISERROR(#REF!),"",INDEX($I55:$AB55,#REF!))</f>
        <v/>
      </c>
      <c r="AZ52" s="4" t="str">
        <f>IF(ISERROR(#REF!),"",INDEX($I55:$AB55,#REF!))</f>
        <v/>
      </c>
      <c r="BA52" s="4" t="str">
        <f>IF(ISERROR(#REF!),"",INDEX($I55:$AB55,#REF!))</f>
        <v/>
      </c>
      <c r="BB52" s="4" t="str">
        <f>IF(ISERROR(#REF!),"",INDEX($I55:$AB55,#REF!))</f>
        <v/>
      </c>
      <c r="BC52" s="4" t="str">
        <f>IF(ISERROR(#REF!),"",INDEX($I55:$AB55,#REF!))</f>
        <v/>
      </c>
      <c r="BD52" s="4" t="str">
        <f>IF(ISERROR(#REF!),"",INDEX($I55:$AB55,#REF!))</f>
        <v/>
      </c>
      <c r="BE52" s="4" t="str">
        <f>IF(ISERROR(#REF!),"",INDEX($I55:$AB55,#REF!))</f>
        <v/>
      </c>
      <c r="BF52" s="4" t="str">
        <f>IF(ISERROR(#REF!),"",INDEX($I55:$AB55,#REF!))</f>
        <v/>
      </c>
      <c r="BG52" s="4" t="str">
        <f>IF(ISERROR(#REF!),"",INDEX($I55:$AB55,#REF!))</f>
        <v/>
      </c>
      <c r="BH52" s="4" t="str">
        <f>IF(ISERROR(#REF!),"",INDEX($I55:$AB55,#REF!))</f>
        <v/>
      </c>
      <c r="BI52" s="4" t="str">
        <f>IF(ISERROR(#REF!),"",INDEX($I55:$AB55,#REF!))</f>
        <v/>
      </c>
      <c r="BJ52" s="4" t="str">
        <f>IF(ISERROR(#REF!),"",INDEX($I55:$AB55,#REF!))</f>
        <v/>
      </c>
      <c r="BK52" s="4" t="str">
        <f>IF(ISERROR(#REF!),"",INDEX($I55:$AB55,#REF!))</f>
        <v/>
      </c>
    </row>
  </sheetData>
  <phoneticPr fontId="10"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4"/>
  <dimension ref="A1:U93"/>
  <sheetViews>
    <sheetView zoomScale="70" zoomScaleNormal="70" workbookViewId="0">
      <pane ySplit="1" topLeftCell="A54" activePane="bottomLeft" state="frozen"/>
      <selection pane="bottomLeft" activeCell="C81" sqref="C81"/>
    </sheetView>
  </sheetViews>
  <sheetFormatPr defaultRowHeight="12.75"/>
  <cols>
    <col min="1" max="1" width="5.7109375" style="3" customWidth="1"/>
    <col min="2" max="2" width="17.85546875" bestFit="1" customWidth="1"/>
    <col min="3" max="3" width="4.140625" bestFit="1" customWidth="1"/>
    <col min="5" max="5" width="14" bestFit="1" customWidth="1"/>
    <col min="6" max="6" width="15.7109375" bestFit="1" customWidth="1"/>
    <col min="8" max="8" width="13.7109375" customWidth="1"/>
    <col min="9" max="9" width="10.42578125" bestFit="1" customWidth="1"/>
  </cols>
  <sheetData>
    <row r="1" spans="1:21" s="1" customFormat="1">
      <c r="A1" s="2" t="s">
        <v>727</v>
      </c>
      <c r="B1" s="1" t="s">
        <v>729</v>
      </c>
      <c r="C1" s="1" t="s">
        <v>730</v>
      </c>
      <c r="E1" s="1" t="s">
        <v>862</v>
      </c>
      <c r="F1" s="1" t="s">
        <v>863</v>
      </c>
      <c r="G1" s="1" t="s">
        <v>853</v>
      </c>
      <c r="H1" s="1" t="s">
        <v>860</v>
      </c>
      <c r="I1" s="1" t="s">
        <v>861</v>
      </c>
      <c r="L1" s="1" t="str">
        <f ca="1">INDEX(lu_regions,1)</f>
        <v>NONE</v>
      </c>
      <c r="M1" s="1" t="str">
        <f ca="1">INDEX(lu_regions,2)</f>
        <v>ALL COUNTRIES</v>
      </c>
      <c r="N1" s="1" t="str">
        <f ca="1">INDEX(lu_regions,3)</f>
        <v>EASTERN EUROPE/CENTRAL ASIA</v>
      </c>
      <c r="O1" s="1" t="str">
        <f ca="1">INDEX(lu_regions,4)</f>
        <v>MIDDLE EAST/NORTH AFRICA</v>
      </c>
      <c r="P1" s="1" t="str">
        <f ca="1">INDEX(lu_regions,5)</f>
        <v>SUB-SAHARAN AFRICA</v>
      </c>
      <c r="Q1" s="1" t="str">
        <f ca="1">INDEX(lu_regions,6)</f>
        <v>ALL ASIA</v>
      </c>
      <c r="R1" s="1" t="str">
        <f ca="1">INDEX(lu_regions,7)</f>
        <v>LATIN AMERICA/CARIBBEAN</v>
      </c>
      <c r="S1" s="1" t="str">
        <f ca="1">INDEX(lu_regions,8)</f>
        <v>SOUTH ASIA</v>
      </c>
      <c r="T1" s="1" t="str">
        <f ca="1">INDEX(lu_regions,9)</f>
        <v>EAST ASIA</v>
      </c>
      <c r="U1" s="1" t="e">
        <f ca="1">INDEX(lu_regions,10)</f>
        <v>#REF!</v>
      </c>
    </row>
    <row r="2" spans="1:21">
      <c r="A2" s="3">
        <v>0</v>
      </c>
      <c r="B2" t="s">
        <v>728</v>
      </c>
      <c r="L2">
        <v>0</v>
      </c>
      <c r="M2">
        <v>1</v>
      </c>
      <c r="N2">
        <v>0</v>
      </c>
      <c r="O2">
        <v>0</v>
      </c>
      <c r="P2">
        <v>0</v>
      </c>
      <c r="Q2">
        <v>0</v>
      </c>
      <c r="R2">
        <v>0</v>
      </c>
      <c r="S2">
        <v>0</v>
      </c>
      <c r="T2">
        <v>0</v>
      </c>
      <c r="U2">
        <v>0</v>
      </c>
    </row>
    <row r="3" spans="1:21">
      <c r="A3" s="3">
        <v>1</v>
      </c>
      <c r="B3" t="s">
        <v>732</v>
      </c>
      <c r="C3" t="s">
        <v>731</v>
      </c>
      <c r="D3" t="s">
        <v>733</v>
      </c>
      <c r="E3">
        <f ca="1">IF(OR(uxb_settings!$B$4=1,uxb_settings!$B$4=3),1,0)</f>
        <v>1</v>
      </c>
      <c r="F3">
        <f ca="1">OFFSET(K3,0,uxb_settings!$B$7)</f>
        <v>1</v>
      </c>
      <c r="G3">
        <f ca="1">OFFSET(K3,0,uxb_settings!$B$9)</f>
        <v>1</v>
      </c>
      <c r="H3">
        <f ca="1">IF(A3=uxb_settings!$B$11,3,IF(F3=0,0,IF(G3=1,2,1)))</f>
        <v>2</v>
      </c>
      <c r="I3">
        <f ca="1">IF(A3=uxb_settings!$B$11,3,IF(OR(F3=0,E3=0),0,IF(G3=1,2,1)))</f>
        <v>2</v>
      </c>
      <c r="L3">
        <v>0</v>
      </c>
      <c r="M3">
        <v>1</v>
      </c>
      <c r="N3">
        <v>0</v>
      </c>
      <c r="O3">
        <v>0</v>
      </c>
      <c r="P3">
        <v>0</v>
      </c>
      <c r="Q3">
        <v>0</v>
      </c>
      <c r="R3">
        <v>1</v>
      </c>
      <c r="S3">
        <v>0</v>
      </c>
      <c r="T3">
        <v>0</v>
      </c>
    </row>
    <row r="4" spans="1:21">
      <c r="A4" s="3">
        <v>2</v>
      </c>
      <c r="B4" t="s">
        <v>735</v>
      </c>
      <c r="C4" t="s">
        <v>734</v>
      </c>
      <c r="D4" t="s">
        <v>736</v>
      </c>
      <c r="E4">
        <f ca="1">IF(OR(uxb_settings!$B$4=1,uxb_settings!$B$4=3),1,0)</f>
        <v>1</v>
      </c>
      <c r="F4">
        <f ca="1">OFFSET(K4,0,uxb_settings!$B$7)</f>
        <v>1</v>
      </c>
      <c r="G4">
        <f ca="1">OFFSET(K4,0,uxb_settings!$B$9)</f>
        <v>1</v>
      </c>
      <c r="H4">
        <f ca="1">IF(A4=uxb_settings!$B$11,3,IF(F4=0,0,IF(G4=1,2,1)))</f>
        <v>2</v>
      </c>
      <c r="I4">
        <f ca="1">IF(A4=uxb_settings!$B$11,3,IF(OR(F4=0,E4=0),0,IF(G4=1,2,1)))</f>
        <v>2</v>
      </c>
      <c r="L4">
        <v>0</v>
      </c>
      <c r="M4">
        <v>1</v>
      </c>
      <c r="N4">
        <v>1</v>
      </c>
      <c r="O4">
        <v>0</v>
      </c>
      <c r="P4">
        <v>0</v>
      </c>
      <c r="Q4">
        <v>0</v>
      </c>
      <c r="R4">
        <v>0</v>
      </c>
      <c r="S4">
        <v>0</v>
      </c>
      <c r="T4">
        <v>0</v>
      </c>
    </row>
    <row r="5" spans="1:21">
      <c r="A5" s="3">
        <v>3</v>
      </c>
      <c r="B5" t="s">
        <v>738</v>
      </c>
      <c r="C5" t="s">
        <v>737</v>
      </c>
      <c r="D5" t="s">
        <v>736</v>
      </c>
      <c r="E5">
        <f ca="1">IF(OR(uxb_settings!$B$4=1,uxb_settings!$B$4=3),1,0)</f>
        <v>1</v>
      </c>
      <c r="F5">
        <f ca="1">OFFSET(K5,0,uxb_settings!$B$7)</f>
        <v>1</v>
      </c>
      <c r="G5">
        <f ca="1">OFFSET(K5,0,uxb_settings!$B$9)</f>
        <v>1</v>
      </c>
      <c r="H5">
        <f ca="1">IF(A5=uxb_settings!$B$11,3,IF(F5=0,0,IF(G5=1,2,1)))</f>
        <v>2</v>
      </c>
      <c r="I5">
        <f ca="1">IF(A5=uxb_settings!$B$11,3,IF(OR(F5=0,E5=0),0,IF(G5=1,2,1)))</f>
        <v>2</v>
      </c>
      <c r="L5">
        <v>0</v>
      </c>
      <c r="M5">
        <v>1</v>
      </c>
      <c r="N5">
        <v>1</v>
      </c>
      <c r="O5">
        <v>0</v>
      </c>
      <c r="P5">
        <v>0</v>
      </c>
      <c r="Q5">
        <v>0</v>
      </c>
      <c r="R5">
        <v>0</v>
      </c>
      <c r="S5">
        <v>0</v>
      </c>
      <c r="T5">
        <v>0</v>
      </c>
    </row>
    <row r="6" spans="1:21">
      <c r="A6" s="3">
        <v>4</v>
      </c>
      <c r="B6" t="s">
        <v>740</v>
      </c>
      <c r="C6" t="s">
        <v>739</v>
      </c>
      <c r="D6" t="s">
        <v>741</v>
      </c>
      <c r="E6">
        <f ca="1">IF(OR(uxb_settings!$B$4=1,uxb_settings!$B$4=3),1,0)</f>
        <v>1</v>
      </c>
      <c r="F6">
        <f ca="1">OFFSET(K6,0,uxb_settings!$B$7)</f>
        <v>1</v>
      </c>
      <c r="G6">
        <f ca="1">OFFSET(K6,0,uxb_settings!$B$9)</f>
        <v>1</v>
      </c>
      <c r="H6">
        <f ca="1">IF(A6=uxb_settings!$B$11,3,IF(F6=0,0,IF(G6=1,2,1)))</f>
        <v>2</v>
      </c>
      <c r="I6">
        <f ca="1">IF(A6=uxb_settings!$B$11,3,IF(OR(F6=0,E6=0),0,IF(G6=1,2,1)))</f>
        <v>2</v>
      </c>
      <c r="L6">
        <v>0</v>
      </c>
      <c r="M6">
        <v>1</v>
      </c>
      <c r="N6">
        <v>0</v>
      </c>
      <c r="O6">
        <v>0</v>
      </c>
      <c r="P6">
        <v>0</v>
      </c>
      <c r="Q6">
        <v>1</v>
      </c>
      <c r="R6">
        <v>0</v>
      </c>
      <c r="S6">
        <v>1</v>
      </c>
      <c r="T6">
        <v>0</v>
      </c>
    </row>
    <row r="7" spans="1:21">
      <c r="A7" s="3">
        <v>5</v>
      </c>
      <c r="B7" t="s">
        <v>743</v>
      </c>
      <c r="C7" t="s">
        <v>742</v>
      </c>
      <c r="D7" t="s">
        <v>733</v>
      </c>
      <c r="E7">
        <f ca="1">IF(OR(uxb_settings!$B$4=1,uxb_settings!$B$4=3),1,0)</f>
        <v>1</v>
      </c>
      <c r="F7">
        <f ca="1">OFFSET(K7,0,uxb_settings!$B$7)</f>
        <v>1</v>
      </c>
      <c r="G7">
        <f ca="1">OFFSET(K7,0,uxb_settings!$B$9)</f>
        <v>1</v>
      </c>
      <c r="H7">
        <f ca="1">IF(A7=uxb_settings!$B$11,3,IF(F7=0,0,IF(G7=1,2,1)))</f>
        <v>2</v>
      </c>
      <c r="I7">
        <f ca="1">IF(A7=uxb_settings!$B$11,3,IF(OR(F7=0,E7=0),0,IF(G7=1,2,1)))</f>
        <v>2</v>
      </c>
      <c r="L7">
        <v>0</v>
      </c>
      <c r="M7">
        <v>1</v>
      </c>
      <c r="N7">
        <v>0</v>
      </c>
      <c r="O7">
        <v>0</v>
      </c>
      <c r="P7">
        <v>0</v>
      </c>
      <c r="Q7">
        <v>0</v>
      </c>
      <c r="R7">
        <v>1</v>
      </c>
      <c r="S7">
        <v>0</v>
      </c>
      <c r="T7">
        <v>0</v>
      </c>
    </row>
    <row r="8" spans="1:21">
      <c r="A8" s="3">
        <v>6</v>
      </c>
      <c r="B8" t="s">
        <v>745</v>
      </c>
      <c r="C8" t="s">
        <v>744</v>
      </c>
      <c r="D8" t="s">
        <v>736</v>
      </c>
      <c r="E8">
        <f ca="1">IF(OR(uxb_settings!$B$4=1,uxb_settings!$B$4=3),1,0)</f>
        <v>1</v>
      </c>
      <c r="F8">
        <f ca="1">OFFSET(K8,0,uxb_settings!$B$7)</f>
        <v>1</v>
      </c>
      <c r="G8">
        <f ca="1">OFFSET(K8,0,uxb_settings!$B$9)</f>
        <v>1</v>
      </c>
      <c r="H8">
        <f ca="1">IF(A8=uxb_settings!$B$11,3,IF(F8=0,0,IF(G8=1,2,1)))</f>
        <v>2</v>
      </c>
      <c r="I8">
        <f ca="1">IF(A8=uxb_settings!$B$11,3,IF(OR(F8=0,E8=0),0,IF(G8=1,2,1)))</f>
        <v>2</v>
      </c>
      <c r="L8">
        <v>0</v>
      </c>
      <c r="M8">
        <v>1</v>
      </c>
      <c r="N8">
        <v>1</v>
      </c>
      <c r="O8">
        <v>0</v>
      </c>
      <c r="P8">
        <v>0</v>
      </c>
      <c r="Q8">
        <v>0</v>
      </c>
      <c r="R8">
        <v>0</v>
      </c>
      <c r="S8">
        <v>0</v>
      </c>
      <c r="T8">
        <v>0</v>
      </c>
    </row>
    <row r="9" spans="1:21">
      <c r="A9" s="3">
        <v>7</v>
      </c>
      <c r="B9" t="s">
        <v>747</v>
      </c>
      <c r="C9" t="s">
        <v>746</v>
      </c>
      <c r="D9" t="s">
        <v>733</v>
      </c>
      <c r="E9">
        <f ca="1">IF(OR(uxb_settings!$B$4=1,uxb_settings!$B$4=3),1,0)</f>
        <v>1</v>
      </c>
      <c r="F9">
        <f ca="1">OFFSET(K9,0,uxb_settings!$B$7)</f>
        <v>1</v>
      </c>
      <c r="G9">
        <f ca="1">OFFSET(K9,0,uxb_settings!$B$9)</f>
        <v>1</v>
      </c>
      <c r="H9">
        <f ca="1">IF(A9=uxb_settings!$B$11,3,IF(F9=0,0,IF(G9=1,2,1)))</f>
        <v>2</v>
      </c>
      <c r="I9">
        <f ca="1">IF(A9=uxb_settings!$B$11,3,IF(OR(F9=0,E9=0),0,IF(G9=1,2,1)))</f>
        <v>2</v>
      </c>
      <c r="L9">
        <v>0</v>
      </c>
      <c r="M9">
        <v>1</v>
      </c>
      <c r="N9">
        <v>0</v>
      </c>
      <c r="O9">
        <v>0</v>
      </c>
      <c r="P9">
        <v>0</v>
      </c>
      <c r="Q9">
        <v>0</v>
      </c>
      <c r="R9">
        <v>1</v>
      </c>
      <c r="S9">
        <v>0</v>
      </c>
      <c r="T9">
        <v>0</v>
      </c>
    </row>
    <row r="10" spans="1:21">
      <c r="A10" s="3">
        <v>8</v>
      </c>
      <c r="B10" t="s">
        <v>749</v>
      </c>
      <c r="C10" t="s">
        <v>748</v>
      </c>
      <c r="D10" t="s">
        <v>750</v>
      </c>
      <c r="E10">
        <f ca="1">IF(OR(uxb_settings!$B$4=1,uxb_settings!$B$4=3),1,0)</f>
        <v>1</v>
      </c>
      <c r="F10">
        <f ca="1">OFFSET(K10,0,uxb_settings!$B$7)</f>
        <v>1</v>
      </c>
      <c r="G10">
        <f ca="1">OFFSET(K10,0,uxb_settings!$B$9)</f>
        <v>1</v>
      </c>
      <c r="H10">
        <f ca="1">IF(A10=uxb_settings!$B$11,3,IF(F10=0,0,IF(G10=1,2,1)))</f>
        <v>2</v>
      </c>
      <c r="I10">
        <f ca="1">IF(A10=uxb_settings!$B$11,3,IF(OR(F10=0,E10=0),0,IF(G10=1,2,1)))</f>
        <v>2</v>
      </c>
      <c r="L10">
        <v>0</v>
      </c>
      <c r="M10">
        <v>1</v>
      </c>
      <c r="N10">
        <v>0</v>
      </c>
      <c r="O10">
        <v>0</v>
      </c>
      <c r="P10">
        <v>0</v>
      </c>
      <c r="Q10">
        <v>1</v>
      </c>
      <c r="R10">
        <v>0</v>
      </c>
      <c r="S10">
        <v>0</v>
      </c>
      <c r="T10">
        <v>1</v>
      </c>
    </row>
    <row r="11" spans="1:21">
      <c r="A11" s="3">
        <v>9</v>
      </c>
      <c r="B11" t="s">
        <v>752</v>
      </c>
      <c r="C11" t="s">
        <v>751</v>
      </c>
      <c r="D11" t="s">
        <v>753</v>
      </c>
      <c r="E11">
        <f ca="1">IF(OR(uxb_settings!$B$4=1,uxb_settings!$B$4=3),1,0)</f>
        <v>1</v>
      </c>
      <c r="F11">
        <f ca="1">OFFSET(K11,0,uxb_settings!$B$7)</f>
        <v>1</v>
      </c>
      <c r="G11">
        <f ca="1">OFFSET(K11,0,uxb_settings!$B$9)</f>
        <v>1</v>
      </c>
      <c r="H11">
        <f ca="1">IF(A11=uxb_settings!$B$11,3,IF(F11=0,0,IF(G11=1,2,1)))</f>
        <v>2</v>
      </c>
      <c r="I11">
        <f ca="1">IF(A11=uxb_settings!$B$11,3,IF(OR(F11=0,E11=0),0,IF(G11=1,2,1)))</f>
        <v>2</v>
      </c>
      <c r="L11">
        <v>0</v>
      </c>
      <c r="M11">
        <v>1</v>
      </c>
      <c r="N11">
        <v>0</v>
      </c>
      <c r="O11">
        <v>0</v>
      </c>
      <c r="P11">
        <v>1</v>
      </c>
      <c r="Q11">
        <v>0</v>
      </c>
      <c r="R11">
        <v>0</v>
      </c>
      <c r="S11">
        <v>0</v>
      </c>
      <c r="T11">
        <v>0</v>
      </c>
    </row>
    <row r="12" spans="1:21">
      <c r="A12" s="3">
        <v>10</v>
      </c>
      <c r="B12" t="s">
        <v>755</v>
      </c>
      <c r="C12" t="s">
        <v>754</v>
      </c>
      <c r="D12" t="s">
        <v>733</v>
      </c>
      <c r="E12">
        <f ca="1">IF(OR(uxb_settings!$B$4=1,uxb_settings!$B$4=3),1,0)</f>
        <v>1</v>
      </c>
      <c r="F12">
        <f ca="1">OFFSET(K12,0,uxb_settings!$B$7)</f>
        <v>1</v>
      </c>
      <c r="G12">
        <f ca="1">OFFSET(K12,0,uxb_settings!$B$9)</f>
        <v>1</v>
      </c>
      <c r="H12">
        <f ca="1">IF(A12=uxb_settings!$B$11,3,IF(F12=0,0,IF(G12=1,2,1)))</f>
        <v>2</v>
      </c>
      <c r="I12">
        <f ca="1">IF(A12=uxb_settings!$B$11,3,IF(OR(F12=0,E12=0),0,IF(G12=1,2,1)))</f>
        <v>2</v>
      </c>
      <c r="L12">
        <v>0</v>
      </c>
      <c r="M12">
        <v>1</v>
      </c>
      <c r="N12">
        <v>0</v>
      </c>
      <c r="O12">
        <v>0</v>
      </c>
      <c r="P12">
        <v>0</v>
      </c>
      <c r="Q12">
        <v>0</v>
      </c>
      <c r="R12">
        <v>1</v>
      </c>
      <c r="S12">
        <v>0</v>
      </c>
      <c r="T12">
        <v>0</v>
      </c>
    </row>
    <row r="13" spans="1:21">
      <c r="A13" s="3">
        <v>11</v>
      </c>
      <c r="B13" t="s">
        <v>757</v>
      </c>
      <c r="C13" t="s">
        <v>756</v>
      </c>
      <c r="D13" t="s">
        <v>750</v>
      </c>
      <c r="E13">
        <f ca="1">IF(OR(uxb_settings!$B$4=1,uxb_settings!$B$4=3),1,0)</f>
        <v>1</v>
      </c>
      <c r="F13">
        <f ca="1">OFFSET(K13,0,uxb_settings!$B$7)</f>
        <v>1</v>
      </c>
      <c r="G13">
        <f ca="1">OFFSET(K13,0,uxb_settings!$B$9)</f>
        <v>1</v>
      </c>
      <c r="H13">
        <f ca="1">IF(A13=uxb_settings!$B$11,3,IF(F13=0,0,IF(G13=1,2,1)))</f>
        <v>2</v>
      </c>
      <c r="I13">
        <f ca="1">IF(A13=uxb_settings!$B$11,3,IF(OR(F13=0,E13=0),0,IF(G13=1,2,1)))</f>
        <v>2</v>
      </c>
      <c r="L13">
        <v>0</v>
      </c>
      <c r="M13">
        <v>1</v>
      </c>
      <c r="N13">
        <v>0</v>
      </c>
      <c r="O13">
        <v>0</v>
      </c>
      <c r="P13">
        <v>0</v>
      </c>
      <c r="Q13">
        <v>1</v>
      </c>
      <c r="R13">
        <v>0</v>
      </c>
      <c r="S13">
        <v>0</v>
      </c>
      <c r="T13">
        <v>1</v>
      </c>
    </row>
    <row r="14" spans="1:21">
      <c r="A14" s="3">
        <v>12</v>
      </c>
      <c r="B14" t="s">
        <v>759</v>
      </c>
      <c r="C14" t="s">
        <v>758</v>
      </c>
      <c r="D14" t="s">
        <v>733</v>
      </c>
      <c r="E14">
        <f ca="1">IF(OR(uxb_settings!$B$4=1,uxb_settings!$B$4=3),1,0)</f>
        <v>1</v>
      </c>
      <c r="F14">
        <f ca="1">OFFSET(K14,0,uxb_settings!$B$7)</f>
        <v>1</v>
      </c>
      <c r="G14">
        <f ca="1">OFFSET(K14,0,uxb_settings!$B$9)</f>
        <v>1</v>
      </c>
      <c r="H14">
        <f ca="1">IF(A14=uxb_settings!$B$11,3,IF(F14=0,0,IF(G14=1,2,1)))</f>
        <v>2</v>
      </c>
      <c r="I14">
        <f ca="1">IF(A14=uxb_settings!$B$11,3,IF(OR(F14=0,E14=0),0,IF(G14=1,2,1)))</f>
        <v>2</v>
      </c>
      <c r="L14">
        <v>0</v>
      </c>
      <c r="M14">
        <v>1</v>
      </c>
      <c r="N14">
        <v>0</v>
      </c>
      <c r="O14">
        <v>0</v>
      </c>
      <c r="P14">
        <v>0</v>
      </c>
      <c r="Q14">
        <v>0</v>
      </c>
      <c r="R14">
        <v>1</v>
      </c>
      <c r="S14">
        <v>0</v>
      </c>
      <c r="T14">
        <v>0</v>
      </c>
    </row>
    <row r="15" spans="1:21">
      <c r="A15" s="3">
        <v>13</v>
      </c>
      <c r="B15" t="s">
        <v>761</v>
      </c>
      <c r="C15" t="s">
        <v>760</v>
      </c>
      <c r="D15" t="s">
        <v>733</v>
      </c>
      <c r="E15">
        <f ca="1">IF(OR(uxb_settings!$B$4=1,uxb_settings!$B$4=3),1,0)</f>
        <v>1</v>
      </c>
      <c r="F15">
        <f ca="1">OFFSET(K15,0,uxb_settings!$B$7)</f>
        <v>1</v>
      </c>
      <c r="G15">
        <f ca="1">OFFSET(K15,0,uxb_settings!$B$9)</f>
        <v>1</v>
      </c>
      <c r="H15">
        <f ca="1">IF(A15=uxb_settings!$B$11,3,IF(F15=0,0,IF(G15=1,2,1)))</f>
        <v>2</v>
      </c>
      <c r="I15">
        <f ca="1">IF(A15=uxb_settings!$B$11,3,IF(OR(F15=0,E15=0),0,IF(G15=1,2,1)))</f>
        <v>2</v>
      </c>
      <c r="L15">
        <v>0</v>
      </c>
      <c r="M15">
        <v>1</v>
      </c>
      <c r="N15">
        <v>0</v>
      </c>
      <c r="O15">
        <v>0</v>
      </c>
      <c r="P15">
        <v>0</v>
      </c>
      <c r="Q15">
        <v>0</v>
      </c>
      <c r="R15">
        <v>1</v>
      </c>
      <c r="S15">
        <v>0</v>
      </c>
      <c r="T15">
        <v>0</v>
      </c>
    </row>
    <row r="16" spans="1:21">
      <c r="A16" s="3">
        <v>14</v>
      </c>
      <c r="B16" t="s">
        <v>763</v>
      </c>
      <c r="C16" t="s">
        <v>762</v>
      </c>
      <c r="D16" t="s">
        <v>733</v>
      </c>
      <c r="E16">
        <f ca="1">IF(OR(uxb_settings!$B$4=1,uxb_settings!$B$4=3),1,0)</f>
        <v>1</v>
      </c>
      <c r="F16">
        <f ca="1">OFFSET(K16,0,uxb_settings!$B$7)</f>
        <v>1</v>
      </c>
      <c r="G16">
        <f ca="1">OFFSET(K16,0,uxb_settings!$B$9)</f>
        <v>1</v>
      </c>
      <c r="H16">
        <f ca="1">IF(A16=uxb_settings!$B$11,3,IF(F16=0,0,IF(G16=1,2,1)))</f>
        <v>2</v>
      </c>
      <c r="I16">
        <f ca="1">IF(A16=uxb_settings!$B$11,3,IF(OR(F16=0,E16=0),0,IF(G16=1,2,1)))</f>
        <v>2</v>
      </c>
      <c r="L16">
        <v>0</v>
      </c>
      <c r="M16">
        <v>1</v>
      </c>
      <c r="N16">
        <v>0</v>
      </c>
      <c r="O16">
        <v>0</v>
      </c>
      <c r="P16">
        <v>0</v>
      </c>
      <c r="Q16">
        <v>0</v>
      </c>
      <c r="R16">
        <v>1</v>
      </c>
      <c r="S16">
        <v>0</v>
      </c>
      <c r="T16">
        <v>0</v>
      </c>
    </row>
    <row r="17" spans="1:20">
      <c r="A17" s="3">
        <v>15</v>
      </c>
      <c r="B17" t="s">
        <v>765</v>
      </c>
      <c r="C17" t="s">
        <v>764</v>
      </c>
      <c r="D17" t="s">
        <v>753</v>
      </c>
      <c r="E17">
        <f ca="1">IF(OR(uxb_settings!$B$4=1,uxb_settings!$B$4=3),1,0)</f>
        <v>1</v>
      </c>
      <c r="F17">
        <f ca="1">OFFSET(K17,0,uxb_settings!$B$7)</f>
        <v>1</v>
      </c>
      <c r="G17">
        <f ca="1">OFFSET(K17,0,uxb_settings!$B$9)</f>
        <v>1</v>
      </c>
      <c r="H17">
        <f ca="1">IF(A17=uxb_settings!$B$11,3,IF(F17=0,0,IF(G17=1,2,1)))</f>
        <v>2</v>
      </c>
      <c r="I17">
        <f ca="1">IF(A17=uxb_settings!$B$11,3,IF(OR(F17=0,E17=0),0,IF(G17=1,2,1)))</f>
        <v>2</v>
      </c>
      <c r="L17">
        <v>0</v>
      </c>
      <c r="M17">
        <v>1</v>
      </c>
      <c r="N17">
        <v>0</v>
      </c>
      <c r="O17">
        <v>0</v>
      </c>
      <c r="P17">
        <v>1</v>
      </c>
      <c r="Q17">
        <v>0</v>
      </c>
      <c r="R17">
        <v>0</v>
      </c>
      <c r="S17">
        <v>0</v>
      </c>
      <c r="T17">
        <v>0</v>
      </c>
    </row>
    <row r="18" spans="1:20">
      <c r="A18" s="3">
        <v>16</v>
      </c>
      <c r="B18" t="s">
        <v>767</v>
      </c>
      <c r="C18" t="s">
        <v>766</v>
      </c>
      <c r="D18" t="s">
        <v>733</v>
      </c>
      <c r="E18">
        <f ca="1">IF(OR(uxb_settings!$B$4=1,uxb_settings!$B$4=3),1,0)</f>
        <v>1</v>
      </c>
      <c r="F18">
        <f ca="1">OFFSET(K18,0,uxb_settings!$B$7)</f>
        <v>1</v>
      </c>
      <c r="G18">
        <f ca="1">OFFSET(K18,0,uxb_settings!$B$9)</f>
        <v>1</v>
      </c>
      <c r="H18">
        <f ca="1">IF(A18=uxb_settings!$B$11,3,IF(F18=0,0,IF(G18=1,2,1)))</f>
        <v>2</v>
      </c>
      <c r="I18">
        <f ca="1">IF(A18=uxb_settings!$B$11,3,IF(OR(F18=0,E18=0),0,IF(G18=1,2,1)))</f>
        <v>2</v>
      </c>
      <c r="L18">
        <v>0</v>
      </c>
      <c r="M18">
        <v>1</v>
      </c>
      <c r="N18">
        <v>0</v>
      </c>
      <c r="O18">
        <v>0</v>
      </c>
      <c r="P18">
        <v>0</v>
      </c>
      <c r="Q18">
        <v>0</v>
      </c>
      <c r="R18">
        <v>1</v>
      </c>
      <c r="S18">
        <v>0</v>
      </c>
      <c r="T18">
        <v>0</v>
      </c>
    </row>
    <row r="19" spans="1:20">
      <c r="A19" s="3">
        <v>17</v>
      </c>
      <c r="B19" t="s">
        <v>769</v>
      </c>
      <c r="C19" t="s">
        <v>768</v>
      </c>
      <c r="D19" t="s">
        <v>733</v>
      </c>
      <c r="E19">
        <f ca="1">IF(OR(uxb_settings!$B$4=1,uxb_settings!$B$4=3),1,0)</f>
        <v>1</v>
      </c>
      <c r="F19">
        <f ca="1">OFFSET(K19,0,uxb_settings!$B$7)</f>
        <v>1</v>
      </c>
      <c r="G19">
        <f ca="1">OFFSET(K19,0,uxb_settings!$B$9)</f>
        <v>1</v>
      </c>
      <c r="H19">
        <f ca="1">IF(A19=uxb_settings!$B$11,3,IF(F19=0,0,IF(G19=1,2,1)))</f>
        <v>2</v>
      </c>
      <c r="I19">
        <f ca="1">IF(A19=uxb_settings!$B$11,3,IF(OR(F19=0,E19=0),0,IF(G19=1,2,1)))</f>
        <v>2</v>
      </c>
      <c r="L19">
        <v>0</v>
      </c>
      <c r="M19">
        <v>1</v>
      </c>
      <c r="N19">
        <v>0</v>
      </c>
      <c r="O19">
        <v>0</v>
      </c>
      <c r="P19">
        <v>0</v>
      </c>
      <c r="Q19">
        <v>0</v>
      </c>
      <c r="R19">
        <v>1</v>
      </c>
      <c r="S19">
        <v>0</v>
      </c>
      <c r="T19">
        <v>0</v>
      </c>
    </row>
    <row r="20" spans="1:20">
      <c r="A20" s="3">
        <v>18</v>
      </c>
      <c r="B20" t="s">
        <v>771</v>
      </c>
      <c r="C20" t="s">
        <v>770</v>
      </c>
      <c r="D20" t="s">
        <v>753</v>
      </c>
      <c r="E20">
        <f ca="1">IF(OR(uxb_settings!$B$4=1,uxb_settings!$B$4=3),1,0)</f>
        <v>1</v>
      </c>
      <c r="F20">
        <f ca="1">OFFSET(K20,0,uxb_settings!$B$7)</f>
        <v>1</v>
      </c>
      <c r="G20">
        <f ca="1">OFFSET(K20,0,uxb_settings!$B$9)</f>
        <v>1</v>
      </c>
      <c r="H20">
        <f ca="1">IF(A20=uxb_settings!$B$11,3,IF(F20=0,0,IF(G20=1,2,1)))</f>
        <v>2</v>
      </c>
      <c r="I20">
        <f ca="1">IF(A20=uxb_settings!$B$11,3,IF(OR(F20=0,E20=0),0,IF(G20=1,2,1)))</f>
        <v>2</v>
      </c>
      <c r="L20">
        <v>0</v>
      </c>
      <c r="M20">
        <v>1</v>
      </c>
      <c r="N20">
        <v>0</v>
      </c>
      <c r="O20">
        <v>0</v>
      </c>
      <c r="P20">
        <v>1</v>
      </c>
      <c r="Q20">
        <v>0</v>
      </c>
      <c r="R20">
        <v>0</v>
      </c>
      <c r="S20">
        <v>0</v>
      </c>
      <c r="T20">
        <v>0</v>
      </c>
    </row>
    <row r="21" spans="1:20">
      <c r="A21" s="3">
        <v>19</v>
      </c>
      <c r="B21" t="s">
        <v>773</v>
      </c>
      <c r="C21" t="s">
        <v>772</v>
      </c>
      <c r="D21" t="s">
        <v>736</v>
      </c>
      <c r="E21">
        <f ca="1">IF(OR(uxb_settings!$B$4=1,uxb_settings!$B$4=3),1,0)</f>
        <v>1</v>
      </c>
      <c r="F21">
        <f ca="1">OFFSET(K21,0,uxb_settings!$B$7)</f>
        <v>1</v>
      </c>
      <c r="G21">
        <f ca="1">OFFSET(K21,0,uxb_settings!$B$9)</f>
        <v>1</v>
      </c>
      <c r="H21">
        <f ca="1">IF(A21=uxb_settings!$B$11,3,IF(F21=0,0,IF(G21=1,2,1)))</f>
        <v>2</v>
      </c>
      <c r="I21">
        <f ca="1">IF(A21=uxb_settings!$B$11,3,IF(OR(F21=0,E21=0),0,IF(G21=1,2,1)))</f>
        <v>2</v>
      </c>
      <c r="L21">
        <v>0</v>
      </c>
      <c r="M21">
        <v>1</v>
      </c>
      <c r="N21">
        <v>1</v>
      </c>
      <c r="O21">
        <v>0</v>
      </c>
      <c r="P21">
        <v>0</v>
      </c>
      <c r="Q21">
        <v>0</v>
      </c>
      <c r="R21">
        <v>0</v>
      </c>
      <c r="S21">
        <v>0</v>
      </c>
      <c r="T21">
        <v>0</v>
      </c>
    </row>
    <row r="22" spans="1:20">
      <c r="A22" s="3">
        <v>20</v>
      </c>
      <c r="B22" t="s">
        <v>775</v>
      </c>
      <c r="C22" t="s">
        <v>774</v>
      </c>
      <c r="D22" t="s">
        <v>753</v>
      </c>
      <c r="E22">
        <f ca="1">IF(OR(uxb_settings!$B$4=1,uxb_settings!$B$4=3),1,0)</f>
        <v>1</v>
      </c>
      <c r="F22">
        <f ca="1">OFFSET(K22,0,uxb_settings!$B$7)</f>
        <v>1</v>
      </c>
      <c r="G22">
        <f ca="1">OFFSET(K22,0,uxb_settings!$B$9)</f>
        <v>1</v>
      </c>
      <c r="H22">
        <f ca="1">IF(A22=uxb_settings!$B$11,3,IF(F22=0,0,IF(G22=1,2,1)))</f>
        <v>2</v>
      </c>
      <c r="I22">
        <f ca="1">IF(A22=uxb_settings!$B$11,3,IF(OR(F22=0,E22=0),0,IF(G22=1,2,1)))</f>
        <v>2</v>
      </c>
      <c r="L22">
        <v>0</v>
      </c>
      <c r="M22">
        <v>1</v>
      </c>
      <c r="N22">
        <v>0</v>
      </c>
      <c r="O22">
        <v>0</v>
      </c>
      <c r="P22">
        <v>1</v>
      </c>
      <c r="Q22">
        <v>0</v>
      </c>
      <c r="R22">
        <v>0</v>
      </c>
      <c r="S22">
        <v>0</v>
      </c>
      <c r="T22">
        <v>0</v>
      </c>
    </row>
    <row r="23" spans="1:20">
      <c r="A23" s="3">
        <v>21</v>
      </c>
      <c r="B23" t="s">
        <v>777</v>
      </c>
      <c r="C23" t="s">
        <v>776</v>
      </c>
      <c r="D23" t="s">
        <v>733</v>
      </c>
      <c r="E23">
        <f ca="1">IF(OR(uxb_settings!$B$4=1,uxb_settings!$B$4=3),1,0)</f>
        <v>1</v>
      </c>
      <c r="F23">
        <f ca="1">OFFSET(K23,0,uxb_settings!$B$7)</f>
        <v>1</v>
      </c>
      <c r="G23">
        <f ca="1">OFFSET(K23,0,uxb_settings!$B$9)</f>
        <v>1</v>
      </c>
      <c r="H23">
        <f ca="1">IF(A23=uxb_settings!$B$11,3,IF(F23=0,0,IF(G23=1,2,1)))</f>
        <v>2</v>
      </c>
      <c r="I23">
        <f ca="1">IF(A23=uxb_settings!$B$11,3,IF(OR(F23=0,E23=0),0,IF(G23=1,2,1)))</f>
        <v>2</v>
      </c>
      <c r="L23">
        <v>0</v>
      </c>
      <c r="M23">
        <v>1</v>
      </c>
      <c r="N23">
        <v>0</v>
      </c>
      <c r="O23">
        <v>0</v>
      </c>
      <c r="P23">
        <v>0</v>
      </c>
      <c r="Q23">
        <v>0</v>
      </c>
      <c r="R23">
        <v>1</v>
      </c>
      <c r="S23">
        <v>0</v>
      </c>
      <c r="T23">
        <v>0</v>
      </c>
    </row>
    <row r="24" spans="1:20">
      <c r="A24" s="3">
        <v>22</v>
      </c>
      <c r="B24" t="s">
        <v>779</v>
      </c>
      <c r="C24" t="s">
        <v>778</v>
      </c>
      <c r="D24" t="s">
        <v>733</v>
      </c>
      <c r="E24">
        <f ca="1">IF(OR(uxb_settings!$B$4=1,uxb_settings!$B$4=3),1,0)</f>
        <v>1</v>
      </c>
      <c r="F24">
        <f ca="1">OFFSET(K24,0,uxb_settings!$B$7)</f>
        <v>1</v>
      </c>
      <c r="G24">
        <f ca="1">OFFSET(K24,0,uxb_settings!$B$9)</f>
        <v>1</v>
      </c>
      <c r="H24">
        <f ca="1">IF(A24=uxb_settings!$B$11,3,IF(F24=0,0,IF(G24=1,2,1)))</f>
        <v>2</v>
      </c>
      <c r="I24">
        <f ca="1">IF(A24=uxb_settings!$B$11,3,IF(OR(F24=0,E24=0),0,IF(G24=1,2,1)))</f>
        <v>2</v>
      </c>
      <c r="L24">
        <v>0</v>
      </c>
      <c r="M24">
        <v>1</v>
      </c>
      <c r="N24">
        <v>0</v>
      </c>
      <c r="O24">
        <v>0</v>
      </c>
      <c r="P24">
        <v>0</v>
      </c>
      <c r="Q24">
        <v>0</v>
      </c>
      <c r="R24">
        <v>1</v>
      </c>
      <c r="S24">
        <v>0</v>
      </c>
      <c r="T24">
        <v>0</v>
      </c>
    </row>
    <row r="25" spans="1:20">
      <c r="A25" s="3">
        <v>23</v>
      </c>
      <c r="B25" t="s">
        <v>781</v>
      </c>
      <c r="C25" t="s">
        <v>780</v>
      </c>
      <c r="D25" t="s">
        <v>733</v>
      </c>
      <c r="E25">
        <f ca="1">IF(OR(uxb_settings!$B$4=1,uxb_settings!$B$4=3),1,0)</f>
        <v>1</v>
      </c>
      <c r="F25">
        <f ca="1">OFFSET(K25,0,uxb_settings!$B$7)</f>
        <v>1</v>
      </c>
      <c r="G25">
        <f ca="1">OFFSET(K25,0,uxb_settings!$B$9)</f>
        <v>1</v>
      </c>
      <c r="H25">
        <f ca="1">IF(A25=uxb_settings!$B$11,3,IF(F25=0,0,IF(G25=1,2,1)))</f>
        <v>2</v>
      </c>
      <c r="I25">
        <f ca="1">IF(A25=uxb_settings!$B$11,3,IF(OR(F25=0,E25=0),0,IF(G25=1,2,1)))</f>
        <v>2</v>
      </c>
      <c r="L25">
        <v>0</v>
      </c>
      <c r="M25">
        <v>1</v>
      </c>
      <c r="N25">
        <v>0</v>
      </c>
      <c r="O25">
        <v>0</v>
      </c>
      <c r="P25">
        <v>0</v>
      </c>
      <c r="Q25">
        <v>0</v>
      </c>
      <c r="R25">
        <v>1</v>
      </c>
      <c r="S25">
        <v>0</v>
      </c>
      <c r="T25">
        <v>0</v>
      </c>
    </row>
    <row r="26" spans="1:20">
      <c r="A26" s="3">
        <v>24</v>
      </c>
      <c r="B26" t="s">
        <v>783</v>
      </c>
      <c r="C26" t="s">
        <v>782</v>
      </c>
      <c r="D26" t="s">
        <v>741</v>
      </c>
      <c r="E26">
        <f ca="1">IF(OR(uxb_settings!$B$4=1,uxb_settings!$B$4=3),1,0)</f>
        <v>1</v>
      </c>
      <c r="F26">
        <f ca="1">OFFSET(K26,0,uxb_settings!$B$7)</f>
        <v>1</v>
      </c>
      <c r="G26">
        <f ca="1">OFFSET(K26,0,uxb_settings!$B$9)</f>
        <v>1</v>
      </c>
      <c r="H26">
        <f ca="1">IF(A26=uxb_settings!$B$11,3,IF(F26=0,0,IF(G26=1,2,1)))</f>
        <v>2</v>
      </c>
      <c r="I26">
        <f ca="1">IF(A26=uxb_settings!$B$11,3,IF(OR(F26=0,E26=0),0,IF(G26=1,2,1)))</f>
        <v>2</v>
      </c>
      <c r="L26">
        <v>0</v>
      </c>
      <c r="M26">
        <v>1</v>
      </c>
      <c r="N26">
        <v>0</v>
      </c>
      <c r="O26">
        <v>0</v>
      </c>
      <c r="P26">
        <v>0</v>
      </c>
      <c r="Q26">
        <v>1</v>
      </c>
      <c r="R26">
        <v>0</v>
      </c>
      <c r="S26">
        <v>1</v>
      </c>
      <c r="T26">
        <v>0</v>
      </c>
    </row>
    <row r="27" spans="1:20">
      <c r="A27" s="3">
        <v>25</v>
      </c>
      <c r="B27" t="s">
        <v>785</v>
      </c>
      <c r="C27" t="s">
        <v>784</v>
      </c>
      <c r="D27" t="s">
        <v>750</v>
      </c>
      <c r="E27">
        <f ca="1">IF(OR(uxb_settings!$B$4=1,uxb_settings!$B$4=3),1,0)</f>
        <v>1</v>
      </c>
      <c r="F27">
        <f ca="1">OFFSET(K27,0,uxb_settings!$B$7)</f>
        <v>1</v>
      </c>
      <c r="G27">
        <f ca="1">OFFSET(K27,0,uxb_settings!$B$9)</f>
        <v>1</v>
      </c>
      <c r="H27">
        <f ca="1">IF(A27=uxb_settings!$B$11,3,IF(F27=0,0,IF(G27=1,2,1)))</f>
        <v>2</v>
      </c>
      <c r="I27">
        <f ca="1">IF(A27=uxb_settings!$B$11,3,IF(OR(F27=0,E27=0),0,IF(G27=1,2,1)))</f>
        <v>2</v>
      </c>
      <c r="L27">
        <v>0</v>
      </c>
      <c r="M27">
        <v>1</v>
      </c>
      <c r="N27">
        <v>0</v>
      </c>
      <c r="O27">
        <v>0</v>
      </c>
      <c r="P27">
        <v>0</v>
      </c>
      <c r="Q27">
        <v>1</v>
      </c>
      <c r="R27">
        <v>0</v>
      </c>
      <c r="S27">
        <v>0</v>
      </c>
      <c r="T27">
        <v>1</v>
      </c>
    </row>
    <row r="28" spans="1:20">
      <c r="A28" s="3">
        <v>26</v>
      </c>
      <c r="B28" t="s">
        <v>787</v>
      </c>
      <c r="C28" t="s">
        <v>786</v>
      </c>
      <c r="D28" t="s">
        <v>733</v>
      </c>
      <c r="E28">
        <f ca="1">IF(OR(uxb_settings!$B$4=1,uxb_settings!$B$4=3),1,0)</f>
        <v>1</v>
      </c>
      <c r="F28">
        <f ca="1">OFFSET(K28,0,uxb_settings!$B$7)</f>
        <v>1</v>
      </c>
      <c r="G28">
        <f ca="1">OFFSET(K28,0,uxb_settings!$B$9)</f>
        <v>1</v>
      </c>
      <c r="H28">
        <f ca="1">IF(A28=uxb_settings!$B$11,3,IF(F28=0,0,IF(G28=1,2,1)))</f>
        <v>2</v>
      </c>
      <c r="I28">
        <f ca="1">IF(A28=uxb_settings!$B$11,3,IF(OR(F28=0,E28=0),0,IF(G28=1,2,1)))</f>
        <v>2</v>
      </c>
      <c r="L28">
        <v>0</v>
      </c>
      <c r="M28">
        <v>1</v>
      </c>
      <c r="N28">
        <v>0</v>
      </c>
      <c r="O28">
        <v>0</v>
      </c>
      <c r="P28">
        <v>0</v>
      </c>
      <c r="Q28">
        <v>0</v>
      </c>
      <c r="R28">
        <v>1</v>
      </c>
      <c r="S28">
        <v>0</v>
      </c>
      <c r="T28">
        <v>0</v>
      </c>
    </row>
    <row r="29" spans="1:20">
      <c r="A29" s="3">
        <v>27</v>
      </c>
      <c r="B29" t="s">
        <v>789</v>
      </c>
      <c r="C29" t="s">
        <v>788</v>
      </c>
      <c r="D29" t="s">
        <v>753</v>
      </c>
      <c r="E29">
        <f ca="1">IF(OR(uxb_settings!$B$4=1,uxb_settings!$B$4=3),1,0)</f>
        <v>1</v>
      </c>
      <c r="F29">
        <f ca="1">OFFSET(K29,0,uxb_settings!$B$7)</f>
        <v>1</v>
      </c>
      <c r="G29">
        <f ca="1">OFFSET(K29,0,uxb_settings!$B$9)</f>
        <v>1</v>
      </c>
      <c r="H29">
        <f ca="1">IF(A29=uxb_settings!$B$11,3,IF(F29=0,0,IF(G29=1,2,1)))</f>
        <v>2</v>
      </c>
      <c r="I29">
        <f ca="1">IF(A29=uxb_settings!$B$11,3,IF(OR(F29=0,E29=0),0,IF(G29=1,2,1)))</f>
        <v>2</v>
      </c>
      <c r="L29">
        <v>0</v>
      </c>
      <c r="M29">
        <v>1</v>
      </c>
      <c r="N29">
        <v>0</v>
      </c>
      <c r="O29">
        <v>0</v>
      </c>
      <c r="P29">
        <v>1</v>
      </c>
      <c r="Q29">
        <v>0</v>
      </c>
      <c r="R29">
        <v>0</v>
      </c>
      <c r="S29">
        <v>0</v>
      </c>
      <c r="T29">
        <v>0</v>
      </c>
    </row>
    <row r="30" spans="1:20">
      <c r="A30" s="3">
        <v>28</v>
      </c>
      <c r="B30" t="s">
        <v>791</v>
      </c>
      <c r="C30" t="s">
        <v>790</v>
      </c>
      <c r="D30" t="s">
        <v>736</v>
      </c>
      <c r="E30">
        <f ca="1">IF(OR(uxb_settings!$B$4=1,uxb_settings!$B$4=3),1,0)</f>
        <v>1</v>
      </c>
      <c r="F30">
        <f ca="1">OFFSET(K30,0,uxb_settings!$B$7)</f>
        <v>1</v>
      </c>
      <c r="G30">
        <f ca="1">OFFSET(K30,0,uxb_settings!$B$9)</f>
        <v>1</v>
      </c>
      <c r="H30">
        <f ca="1">IF(A30=uxb_settings!$B$11,3,IF(F30=0,0,IF(G30=1,2,1)))</f>
        <v>2</v>
      </c>
      <c r="I30">
        <f ca="1">IF(A30=uxb_settings!$B$11,3,IF(OR(F30=0,E30=0),0,IF(G30=1,2,1)))</f>
        <v>2</v>
      </c>
      <c r="L30">
        <v>0</v>
      </c>
      <c r="M30">
        <v>1</v>
      </c>
      <c r="N30">
        <v>1</v>
      </c>
      <c r="O30">
        <v>0</v>
      </c>
      <c r="P30">
        <v>0</v>
      </c>
      <c r="Q30">
        <v>0</v>
      </c>
      <c r="R30">
        <v>0</v>
      </c>
      <c r="S30">
        <v>0</v>
      </c>
      <c r="T30">
        <v>0</v>
      </c>
    </row>
    <row r="31" spans="1:20">
      <c r="A31" s="3">
        <v>29</v>
      </c>
      <c r="B31" t="s">
        <v>793</v>
      </c>
      <c r="C31" t="s">
        <v>792</v>
      </c>
      <c r="D31" t="s">
        <v>794</v>
      </c>
      <c r="E31">
        <f ca="1">IF(OR(uxb_settings!$B$4=1,uxb_settings!$B$4=3),1,0)</f>
        <v>1</v>
      </c>
      <c r="F31">
        <f ca="1">OFFSET(K31,0,uxb_settings!$B$7)</f>
        <v>1</v>
      </c>
      <c r="G31">
        <f ca="1">OFFSET(K31,0,uxb_settings!$B$9)</f>
        <v>1</v>
      </c>
      <c r="H31">
        <f ca="1">IF(A31=uxb_settings!$B$11,3,IF(F31=0,0,IF(G31=1,2,1)))</f>
        <v>2</v>
      </c>
      <c r="I31">
        <f ca="1">IF(A31=uxb_settings!$B$11,3,IF(OR(F31=0,E31=0),0,IF(G31=1,2,1)))</f>
        <v>2</v>
      </c>
      <c r="L31">
        <v>0</v>
      </c>
      <c r="M31">
        <v>1</v>
      </c>
      <c r="N31">
        <v>0</v>
      </c>
      <c r="O31">
        <v>1</v>
      </c>
      <c r="P31">
        <v>0</v>
      </c>
      <c r="Q31">
        <v>0</v>
      </c>
      <c r="R31">
        <v>0</v>
      </c>
      <c r="S31">
        <v>0</v>
      </c>
      <c r="T31">
        <v>0</v>
      </c>
    </row>
    <row r="32" spans="1:20">
      <c r="A32" s="3">
        <v>30</v>
      </c>
      <c r="B32" t="s">
        <v>796</v>
      </c>
      <c r="C32" t="s">
        <v>795</v>
      </c>
      <c r="D32" t="s">
        <v>753</v>
      </c>
      <c r="E32">
        <f ca="1">IF(OR(uxb_settings!$B$4=1,uxb_settings!$B$4=3),1,0)</f>
        <v>1</v>
      </c>
      <c r="F32">
        <f ca="1">OFFSET(K32,0,uxb_settings!$B$7)</f>
        <v>1</v>
      </c>
      <c r="G32">
        <f ca="1">OFFSET(K32,0,uxb_settings!$B$9)</f>
        <v>1</v>
      </c>
      <c r="H32">
        <f ca="1">IF(A32=uxb_settings!$B$11,3,IF(F32=0,0,IF(G32=1,2,1)))</f>
        <v>2</v>
      </c>
      <c r="I32">
        <f ca="1">IF(A32=uxb_settings!$B$11,3,IF(OR(F32=0,E32=0),0,IF(G32=1,2,1)))</f>
        <v>2</v>
      </c>
      <c r="L32">
        <v>0</v>
      </c>
      <c r="M32">
        <v>1</v>
      </c>
      <c r="N32">
        <v>0</v>
      </c>
      <c r="O32">
        <v>0</v>
      </c>
      <c r="P32">
        <v>1</v>
      </c>
      <c r="Q32">
        <v>0</v>
      </c>
      <c r="R32">
        <v>0</v>
      </c>
      <c r="S32">
        <v>0</v>
      </c>
      <c r="T32">
        <v>0</v>
      </c>
    </row>
    <row r="33" spans="1:20">
      <c r="A33" s="3">
        <v>31</v>
      </c>
      <c r="B33" t="s">
        <v>798</v>
      </c>
      <c r="C33" t="s">
        <v>797</v>
      </c>
      <c r="D33" t="s">
        <v>733</v>
      </c>
      <c r="E33">
        <f ca="1">IF(OR(uxb_settings!$B$4=1,uxb_settings!$B$4=3),1,0)</f>
        <v>1</v>
      </c>
      <c r="F33">
        <f ca="1">OFFSET(K33,0,uxb_settings!$B$7)</f>
        <v>1</v>
      </c>
      <c r="G33">
        <f ca="1">OFFSET(K33,0,uxb_settings!$B$9)</f>
        <v>1</v>
      </c>
      <c r="H33">
        <f ca="1">IF(A33=uxb_settings!$B$11,3,IF(F33=0,0,IF(G33=1,2,1)))</f>
        <v>2</v>
      </c>
      <c r="I33">
        <f ca="1">IF(A33=uxb_settings!$B$11,3,IF(OR(F33=0,E33=0),0,IF(G33=1,2,1)))</f>
        <v>2</v>
      </c>
      <c r="L33">
        <v>0</v>
      </c>
      <c r="M33">
        <v>1</v>
      </c>
      <c r="N33">
        <v>0</v>
      </c>
      <c r="O33">
        <v>0</v>
      </c>
      <c r="P33">
        <v>0</v>
      </c>
      <c r="Q33">
        <v>0</v>
      </c>
      <c r="R33">
        <v>1</v>
      </c>
      <c r="S33">
        <v>0</v>
      </c>
      <c r="T33">
        <v>0</v>
      </c>
    </row>
    <row r="34" spans="1:20">
      <c r="A34" s="3">
        <v>32</v>
      </c>
      <c r="B34" t="s">
        <v>800</v>
      </c>
      <c r="C34" t="s">
        <v>799</v>
      </c>
      <c r="D34" t="s">
        <v>750</v>
      </c>
      <c r="E34">
        <f ca="1">IF(OR(uxb_settings!$B$4=1,uxb_settings!$B$4=3),1,0)</f>
        <v>1</v>
      </c>
      <c r="F34">
        <f ca="1">OFFSET(K34,0,uxb_settings!$B$7)</f>
        <v>1</v>
      </c>
      <c r="G34">
        <f ca="1">OFFSET(K34,0,uxb_settings!$B$9)</f>
        <v>1</v>
      </c>
      <c r="H34">
        <f ca="1">IF(A34=uxb_settings!$B$11,3,IF(F34=0,0,IF(G34=1,2,1)))</f>
        <v>2</v>
      </c>
      <c r="I34">
        <f ca="1">IF(A34=uxb_settings!$B$11,3,IF(OR(F34=0,E34=0),0,IF(G34=1,2,1)))</f>
        <v>2</v>
      </c>
      <c r="L34">
        <v>0</v>
      </c>
      <c r="M34">
        <v>1</v>
      </c>
      <c r="N34">
        <v>0</v>
      </c>
      <c r="O34">
        <v>0</v>
      </c>
      <c r="P34">
        <v>0</v>
      </c>
      <c r="Q34">
        <v>1</v>
      </c>
      <c r="R34">
        <v>0</v>
      </c>
      <c r="S34">
        <v>0</v>
      </c>
      <c r="T34">
        <v>1</v>
      </c>
    </row>
    <row r="35" spans="1:20">
      <c r="A35" s="3">
        <v>33</v>
      </c>
      <c r="B35" t="s">
        <v>802</v>
      </c>
      <c r="C35" t="s">
        <v>801</v>
      </c>
      <c r="D35" t="s">
        <v>794</v>
      </c>
      <c r="E35">
        <f ca="1">IF(OR(uxb_settings!$B$4=1,uxb_settings!$B$4=3),1,0)</f>
        <v>1</v>
      </c>
      <c r="F35">
        <f ca="1">OFFSET(K35,0,uxb_settings!$B$7)</f>
        <v>1</v>
      </c>
      <c r="G35">
        <f ca="1">OFFSET(K35,0,uxb_settings!$B$9)</f>
        <v>1</v>
      </c>
      <c r="H35">
        <f ca="1">IF(A35=uxb_settings!$B$11,3,IF(F35=0,0,IF(G35=1,2,1)))</f>
        <v>2</v>
      </c>
      <c r="I35">
        <f ca="1">IF(A35=uxb_settings!$B$11,3,IF(OR(F35=0,E35=0),0,IF(G35=1,2,1)))</f>
        <v>2</v>
      </c>
      <c r="L35">
        <v>0</v>
      </c>
      <c r="M35">
        <v>1</v>
      </c>
      <c r="N35">
        <v>0</v>
      </c>
      <c r="O35">
        <v>1</v>
      </c>
      <c r="P35">
        <v>0</v>
      </c>
      <c r="Q35">
        <v>0</v>
      </c>
      <c r="R35">
        <v>0</v>
      </c>
      <c r="S35">
        <v>0</v>
      </c>
      <c r="T35">
        <v>0</v>
      </c>
    </row>
    <row r="36" spans="1:20">
      <c r="A36" s="3">
        <v>34</v>
      </c>
      <c r="B36" t="s">
        <v>804</v>
      </c>
      <c r="C36" t="s">
        <v>803</v>
      </c>
      <c r="D36" t="s">
        <v>753</v>
      </c>
      <c r="E36">
        <f ca="1">IF(OR(uxb_settings!$B$4=1,uxb_settings!$B$4=3),1,0)</f>
        <v>1</v>
      </c>
      <c r="F36">
        <f ca="1">OFFSET(K36,0,uxb_settings!$B$7)</f>
        <v>1</v>
      </c>
      <c r="G36">
        <f ca="1">OFFSET(K36,0,uxb_settings!$B$9)</f>
        <v>1</v>
      </c>
      <c r="H36">
        <f ca="1">IF(A36=uxb_settings!$B$11,3,IF(F36=0,0,IF(G36=1,2,1)))</f>
        <v>2</v>
      </c>
      <c r="I36">
        <f ca="1">IF(A36=uxb_settings!$B$11,3,IF(OR(F36=0,E36=0),0,IF(G36=1,2,1)))</f>
        <v>2</v>
      </c>
      <c r="L36">
        <v>0</v>
      </c>
      <c r="M36">
        <v>1</v>
      </c>
      <c r="N36">
        <v>0</v>
      </c>
      <c r="O36">
        <v>0</v>
      </c>
      <c r="P36">
        <v>1</v>
      </c>
      <c r="Q36">
        <v>0</v>
      </c>
      <c r="R36">
        <v>0</v>
      </c>
      <c r="S36">
        <v>0</v>
      </c>
      <c r="T36">
        <v>0</v>
      </c>
    </row>
    <row r="37" spans="1:20">
      <c r="A37" s="3">
        <v>35</v>
      </c>
      <c r="B37" t="s">
        <v>806</v>
      </c>
      <c r="C37" t="s">
        <v>805</v>
      </c>
      <c r="D37" t="s">
        <v>750</v>
      </c>
      <c r="E37">
        <f ca="1">IF(OR(uxb_settings!$B$4=1,uxb_settings!$B$4=3),1,0)</f>
        <v>1</v>
      </c>
      <c r="F37">
        <f ca="1">OFFSET(K37,0,uxb_settings!$B$7)</f>
        <v>1</v>
      </c>
      <c r="G37">
        <f ca="1">OFFSET(K37,0,uxb_settings!$B$9)</f>
        <v>1</v>
      </c>
      <c r="H37">
        <f ca="1">IF(A37=uxb_settings!$B$11,3,IF(F37=0,0,IF(G37=1,2,1)))</f>
        <v>2</v>
      </c>
      <c r="I37">
        <f ca="1">IF(A37=uxb_settings!$B$11,3,IF(OR(F37=0,E37=0),0,IF(G37=1,2,1)))</f>
        <v>2</v>
      </c>
      <c r="L37">
        <v>0</v>
      </c>
      <c r="M37">
        <v>1</v>
      </c>
      <c r="N37">
        <v>0</v>
      </c>
      <c r="O37">
        <v>0</v>
      </c>
      <c r="P37">
        <v>0</v>
      </c>
      <c r="Q37">
        <v>1</v>
      </c>
      <c r="R37">
        <v>0</v>
      </c>
      <c r="S37">
        <v>1</v>
      </c>
      <c r="T37">
        <v>0</v>
      </c>
    </row>
    <row r="38" spans="1:20">
      <c r="A38" s="3">
        <v>36</v>
      </c>
      <c r="B38" t="s">
        <v>808</v>
      </c>
      <c r="C38" t="s">
        <v>807</v>
      </c>
      <c r="D38" t="s">
        <v>733</v>
      </c>
      <c r="E38">
        <f ca="1">IF(OR(uxb_settings!$B$4=1,uxb_settings!$B$4=3),1,0)</f>
        <v>1</v>
      </c>
      <c r="F38">
        <f ca="1">OFFSET(K38,0,uxb_settings!$B$7)</f>
        <v>1</v>
      </c>
      <c r="G38">
        <f ca="1">OFFSET(K38,0,uxb_settings!$B$9)</f>
        <v>1</v>
      </c>
      <c r="H38">
        <f ca="1">IF(A38=uxb_settings!$B$11,3,IF(F38=0,0,IF(G38=1,2,1)))</f>
        <v>2</v>
      </c>
      <c r="I38">
        <f ca="1">IF(A38=uxb_settings!$B$11,3,IF(OR(F38=0,E38=0),0,IF(G38=1,2,1)))</f>
        <v>2</v>
      </c>
      <c r="L38">
        <v>0</v>
      </c>
      <c r="M38">
        <v>1</v>
      </c>
      <c r="N38">
        <v>0</v>
      </c>
      <c r="O38">
        <v>0</v>
      </c>
      <c r="P38">
        <v>0</v>
      </c>
      <c r="Q38">
        <v>0</v>
      </c>
      <c r="R38">
        <v>1</v>
      </c>
      <c r="S38">
        <v>0</v>
      </c>
      <c r="T38">
        <v>0</v>
      </c>
    </row>
    <row r="39" spans="1:20">
      <c r="A39" s="3">
        <v>37</v>
      </c>
      <c r="B39" t="s">
        <v>810</v>
      </c>
      <c r="C39" t="s">
        <v>809</v>
      </c>
      <c r="D39" t="s">
        <v>753</v>
      </c>
      <c r="E39">
        <f ca="1">IF(OR(uxb_settings!$B$4=1,uxb_settings!$B$4=3),1,0)</f>
        <v>1</v>
      </c>
      <c r="F39">
        <f ca="1">OFFSET(K39,0,uxb_settings!$B$7)</f>
        <v>1</v>
      </c>
      <c r="G39">
        <f ca="1">OFFSET(K39,0,uxb_settings!$B$9)</f>
        <v>1</v>
      </c>
      <c r="H39">
        <f ca="1">IF(A39=uxb_settings!$B$11,3,IF(F39=0,0,IF(G39=1,2,1)))</f>
        <v>2</v>
      </c>
      <c r="I39">
        <f ca="1">IF(A39=uxb_settings!$B$11,3,IF(OR(F39=0,E39=0),0,IF(G39=1,2,1)))</f>
        <v>2</v>
      </c>
      <c r="L39">
        <v>0</v>
      </c>
      <c r="M39">
        <v>1</v>
      </c>
      <c r="N39">
        <v>0</v>
      </c>
      <c r="O39">
        <v>0</v>
      </c>
      <c r="P39">
        <v>1</v>
      </c>
      <c r="Q39">
        <v>0</v>
      </c>
      <c r="R39">
        <v>0</v>
      </c>
      <c r="S39">
        <v>0</v>
      </c>
      <c r="T39">
        <v>0</v>
      </c>
    </row>
    <row r="40" spans="1:20">
      <c r="A40" s="3">
        <v>38</v>
      </c>
      <c r="B40" t="s">
        <v>812</v>
      </c>
      <c r="C40" t="s">
        <v>811</v>
      </c>
      <c r="D40" t="s">
        <v>741</v>
      </c>
      <c r="E40">
        <f ca="1">IF(OR(uxb_settings!$B$4=1,uxb_settings!$B$4=3),1,0)</f>
        <v>1</v>
      </c>
      <c r="F40">
        <f ca="1">OFFSET(K40,0,uxb_settings!$B$7)</f>
        <v>1</v>
      </c>
      <c r="G40">
        <f ca="1">OFFSET(K40,0,uxb_settings!$B$9)</f>
        <v>1</v>
      </c>
      <c r="H40">
        <f ca="1">IF(A40=uxb_settings!$B$11,3,IF(F40=0,0,IF(G40=1,2,1)))</f>
        <v>2</v>
      </c>
      <c r="I40">
        <f ca="1">IF(A40=uxb_settings!$B$11,3,IF(OR(F40=0,E40=0),0,IF(G40=1,2,1)))</f>
        <v>2</v>
      </c>
      <c r="L40">
        <v>0</v>
      </c>
      <c r="M40">
        <v>1</v>
      </c>
      <c r="N40">
        <v>0</v>
      </c>
      <c r="O40">
        <v>0</v>
      </c>
      <c r="P40">
        <v>0</v>
      </c>
      <c r="Q40">
        <v>1</v>
      </c>
      <c r="R40">
        <v>0</v>
      </c>
      <c r="S40">
        <v>1</v>
      </c>
      <c r="T40">
        <v>0</v>
      </c>
    </row>
    <row r="41" spans="1:20">
      <c r="A41" s="3">
        <v>39</v>
      </c>
      <c r="B41" t="s">
        <v>814</v>
      </c>
      <c r="C41" t="s">
        <v>813</v>
      </c>
      <c r="D41" t="s">
        <v>733</v>
      </c>
      <c r="E41">
        <f ca="1">IF(OR(uxb_settings!$B$4=1,uxb_settings!$B$4=3),1,0)</f>
        <v>1</v>
      </c>
      <c r="F41">
        <f ca="1">OFFSET(K41,0,uxb_settings!$B$7)</f>
        <v>1</v>
      </c>
      <c r="G41">
        <f ca="1">OFFSET(K41,0,uxb_settings!$B$9)</f>
        <v>1</v>
      </c>
      <c r="H41">
        <f ca="1">IF(A41=uxb_settings!$B$11,3,IF(F41=0,0,IF(G41=1,2,1)))</f>
        <v>2</v>
      </c>
      <c r="I41">
        <f ca="1">IF(A41=uxb_settings!$B$11,3,IF(OR(F41=0,E41=0),0,IF(G41=1,2,1)))</f>
        <v>2</v>
      </c>
      <c r="L41">
        <v>0</v>
      </c>
      <c r="M41">
        <v>1</v>
      </c>
      <c r="N41">
        <v>0</v>
      </c>
      <c r="O41">
        <v>0</v>
      </c>
      <c r="P41">
        <v>0</v>
      </c>
      <c r="Q41">
        <v>0</v>
      </c>
      <c r="R41">
        <v>1</v>
      </c>
      <c r="S41">
        <v>0</v>
      </c>
      <c r="T41">
        <v>0</v>
      </c>
    </row>
    <row r="42" spans="1:20">
      <c r="A42" s="3">
        <v>40</v>
      </c>
      <c r="B42" t="s">
        <v>816</v>
      </c>
      <c r="C42" t="s">
        <v>815</v>
      </c>
      <c r="D42" t="s">
        <v>733</v>
      </c>
      <c r="E42">
        <f ca="1">IF(OR(uxb_settings!$B$4=1,uxb_settings!$B$4=3),1,0)</f>
        <v>1</v>
      </c>
      <c r="F42">
        <f ca="1">OFFSET(K42,0,uxb_settings!$B$7)</f>
        <v>1</v>
      </c>
      <c r="G42">
        <f ca="1">OFFSET(K42,0,uxb_settings!$B$9)</f>
        <v>1</v>
      </c>
      <c r="H42">
        <f ca="1">IF(A42=uxb_settings!$B$11,3,IF(F42=0,0,IF(G42=1,2,1)))</f>
        <v>2</v>
      </c>
      <c r="I42">
        <f ca="1">IF(A42=uxb_settings!$B$11,3,IF(OR(F42=0,E42=0),0,IF(G42=1,2,1)))</f>
        <v>2</v>
      </c>
      <c r="L42">
        <v>0</v>
      </c>
      <c r="M42">
        <v>1</v>
      </c>
      <c r="N42">
        <v>0</v>
      </c>
      <c r="O42">
        <v>0</v>
      </c>
      <c r="P42">
        <v>0</v>
      </c>
      <c r="Q42">
        <v>0</v>
      </c>
      <c r="R42">
        <v>1</v>
      </c>
      <c r="S42">
        <v>0</v>
      </c>
      <c r="T42">
        <v>0</v>
      </c>
    </row>
    <row r="43" spans="1:20">
      <c r="A43" s="3">
        <v>41</v>
      </c>
      <c r="B43" t="s">
        <v>818</v>
      </c>
      <c r="C43" t="s">
        <v>817</v>
      </c>
      <c r="D43" t="s">
        <v>733</v>
      </c>
      <c r="E43">
        <f ca="1">IF(OR(uxb_settings!$B$4=1,uxb_settings!$B$4=3),1,0)</f>
        <v>1</v>
      </c>
      <c r="F43">
        <f ca="1">OFFSET(K43,0,uxb_settings!$B$7)</f>
        <v>1</v>
      </c>
      <c r="G43">
        <f ca="1">OFFSET(K43,0,uxb_settings!$B$9)</f>
        <v>1</v>
      </c>
      <c r="H43">
        <f ca="1">IF(A43=uxb_settings!$B$11,3,IF(F43=0,0,IF(G43=1,2,1)))</f>
        <v>2</v>
      </c>
      <c r="I43">
        <f ca="1">IF(A43=uxb_settings!$B$11,3,IF(OR(F43=0,E43=0),0,IF(G43=1,2,1)))</f>
        <v>2</v>
      </c>
      <c r="L43">
        <v>0</v>
      </c>
      <c r="M43">
        <v>1</v>
      </c>
      <c r="N43">
        <v>0</v>
      </c>
      <c r="O43">
        <v>0</v>
      </c>
      <c r="P43">
        <v>0</v>
      </c>
      <c r="Q43">
        <v>0</v>
      </c>
      <c r="R43">
        <v>1</v>
      </c>
      <c r="S43">
        <v>0</v>
      </c>
      <c r="T43">
        <v>0</v>
      </c>
    </row>
    <row r="44" spans="1:20">
      <c r="A44" s="3">
        <v>42</v>
      </c>
      <c r="B44" t="s">
        <v>820</v>
      </c>
      <c r="C44" t="s">
        <v>819</v>
      </c>
      <c r="D44" t="s">
        <v>750</v>
      </c>
      <c r="E44">
        <f ca="1">IF(OR(uxb_settings!$B$4=1,uxb_settings!$B$4=3),1,0)</f>
        <v>1</v>
      </c>
      <c r="F44">
        <f ca="1">OFFSET(K44,0,uxb_settings!$B$7)</f>
        <v>1</v>
      </c>
      <c r="G44">
        <f ca="1">OFFSET(K44,0,uxb_settings!$B$9)</f>
        <v>1</v>
      </c>
      <c r="H44">
        <f ca="1">IF(A44=uxb_settings!$B$11,3,IF(F44=0,0,IF(G44=1,2,1)))</f>
        <v>2</v>
      </c>
      <c r="I44">
        <f ca="1">IF(A44=uxb_settings!$B$11,3,IF(OR(F44=0,E44=0),0,IF(G44=1,2,1)))</f>
        <v>2</v>
      </c>
      <c r="L44">
        <v>0</v>
      </c>
      <c r="M44">
        <v>1</v>
      </c>
      <c r="N44">
        <v>0</v>
      </c>
      <c r="O44">
        <v>0</v>
      </c>
      <c r="P44">
        <v>0</v>
      </c>
      <c r="Q44">
        <v>1</v>
      </c>
      <c r="R44">
        <v>0</v>
      </c>
      <c r="S44">
        <v>0</v>
      </c>
      <c r="T44">
        <v>1</v>
      </c>
    </row>
    <row r="45" spans="1:20">
      <c r="A45" s="3">
        <v>43</v>
      </c>
      <c r="B45" t="s">
        <v>822</v>
      </c>
      <c r="C45" t="s">
        <v>821</v>
      </c>
      <c r="D45" t="s">
        <v>753</v>
      </c>
      <c r="E45">
        <f ca="1">IF(OR(uxb_settings!$B$4=1,uxb_settings!$B$4=3),1,0)</f>
        <v>1</v>
      </c>
      <c r="F45">
        <f ca="1">OFFSET(K45,0,uxb_settings!$B$7)</f>
        <v>1</v>
      </c>
      <c r="G45">
        <f ca="1">OFFSET(K45,0,uxb_settings!$B$9)</f>
        <v>1</v>
      </c>
      <c r="H45">
        <f ca="1">IF(A45=uxb_settings!$B$11,3,IF(F45=0,0,IF(G45=1,2,1)))</f>
        <v>2</v>
      </c>
      <c r="I45">
        <f ca="1">IF(A45=uxb_settings!$B$11,3,IF(OR(F45=0,E45=0),0,IF(G45=1,2,1)))</f>
        <v>2</v>
      </c>
      <c r="L45">
        <v>0</v>
      </c>
      <c r="M45">
        <v>1</v>
      </c>
      <c r="N45">
        <v>0</v>
      </c>
      <c r="O45">
        <v>0</v>
      </c>
      <c r="P45">
        <v>1</v>
      </c>
      <c r="Q45">
        <v>0</v>
      </c>
      <c r="R45">
        <v>0</v>
      </c>
      <c r="S45">
        <v>0</v>
      </c>
      <c r="T45">
        <v>0</v>
      </c>
    </row>
    <row r="46" spans="1:20">
      <c r="A46" s="3">
        <v>44</v>
      </c>
      <c r="B46" t="s">
        <v>824</v>
      </c>
      <c r="C46" t="s">
        <v>823</v>
      </c>
      <c r="D46" t="s">
        <v>753</v>
      </c>
      <c r="E46">
        <f ca="1">IF(OR(uxb_settings!$B$4=1,uxb_settings!$B$4=3),1,0)</f>
        <v>1</v>
      </c>
      <c r="F46">
        <f ca="1">OFFSET(K46,0,uxb_settings!$B$7)</f>
        <v>1</v>
      </c>
      <c r="G46">
        <f ca="1">OFFSET(K46,0,uxb_settings!$B$9)</f>
        <v>1</v>
      </c>
      <c r="H46">
        <f ca="1">IF(A46=uxb_settings!$B$11,3,IF(F46=0,0,IF(G46=1,2,1)))</f>
        <v>2</v>
      </c>
      <c r="I46">
        <f ca="1">IF(A46=uxb_settings!$B$11,3,IF(OR(F46=0,E46=0),0,IF(G46=1,2,1)))</f>
        <v>2</v>
      </c>
      <c r="L46">
        <v>0</v>
      </c>
      <c r="M46">
        <v>1</v>
      </c>
      <c r="N46">
        <v>0</v>
      </c>
      <c r="O46">
        <v>0</v>
      </c>
      <c r="P46">
        <v>1</v>
      </c>
      <c r="Q46">
        <v>0</v>
      </c>
      <c r="R46">
        <v>0</v>
      </c>
      <c r="S46">
        <v>0</v>
      </c>
      <c r="T46">
        <v>0</v>
      </c>
    </row>
    <row r="47" spans="1:20">
      <c r="A47" s="3">
        <v>45</v>
      </c>
      <c r="B47" t="s">
        <v>826</v>
      </c>
      <c r="C47" t="s">
        <v>825</v>
      </c>
      <c r="D47" t="s">
        <v>750</v>
      </c>
      <c r="E47">
        <f ca="1">IF(OR(uxb_settings!$B$4=1,uxb_settings!$B$4=3),1,0)</f>
        <v>1</v>
      </c>
      <c r="F47">
        <f ca="1">OFFSET(K47,0,uxb_settings!$B$7)</f>
        <v>1</v>
      </c>
      <c r="G47">
        <f ca="1">OFFSET(K47,0,uxb_settings!$B$9)</f>
        <v>1</v>
      </c>
      <c r="H47">
        <f ca="1">IF(A47=uxb_settings!$B$11,3,IF(F47=0,0,IF(G47=1,2,1)))</f>
        <v>2</v>
      </c>
      <c r="I47">
        <f ca="1">IF(A47=uxb_settings!$B$11,3,IF(OR(F47=0,E47=0),0,IF(G47=1,2,1)))</f>
        <v>2</v>
      </c>
      <c r="L47">
        <v>0</v>
      </c>
      <c r="M47">
        <v>1</v>
      </c>
      <c r="N47">
        <v>0</v>
      </c>
      <c r="O47">
        <v>0</v>
      </c>
      <c r="P47">
        <v>0</v>
      </c>
      <c r="Q47">
        <v>1</v>
      </c>
      <c r="R47">
        <v>0</v>
      </c>
      <c r="S47">
        <v>1</v>
      </c>
      <c r="T47">
        <v>0</v>
      </c>
    </row>
    <row r="48" spans="1:20">
      <c r="A48" s="3">
        <v>46</v>
      </c>
      <c r="B48" t="s">
        <v>828</v>
      </c>
      <c r="C48" t="s">
        <v>827</v>
      </c>
      <c r="D48" t="s">
        <v>736</v>
      </c>
      <c r="E48">
        <f ca="1">IF(OR(uxb_settings!$B$4=1,uxb_settings!$B$4=3),1,0)</f>
        <v>1</v>
      </c>
      <c r="F48">
        <f ca="1">OFFSET(K48,0,uxb_settings!$B$7)</f>
        <v>1</v>
      </c>
      <c r="G48">
        <f ca="1">OFFSET(K48,0,uxb_settings!$B$9)</f>
        <v>1</v>
      </c>
      <c r="H48">
        <f ca="1">IF(A48=uxb_settings!$B$11,3,IF(F48=0,0,IF(G48=1,2,1)))</f>
        <v>2</v>
      </c>
      <c r="I48">
        <f ca="1">IF(A48=uxb_settings!$B$11,3,IF(OR(F48=0,E48=0),0,IF(G48=1,2,1)))</f>
        <v>2</v>
      </c>
      <c r="L48">
        <v>0</v>
      </c>
      <c r="M48">
        <v>1</v>
      </c>
      <c r="N48">
        <v>1</v>
      </c>
      <c r="O48">
        <v>0</v>
      </c>
      <c r="P48">
        <v>0</v>
      </c>
      <c r="Q48">
        <v>0</v>
      </c>
      <c r="R48">
        <v>0</v>
      </c>
      <c r="S48">
        <v>0</v>
      </c>
      <c r="T48">
        <v>0</v>
      </c>
    </row>
    <row r="49" spans="1:21">
      <c r="A49" s="3">
        <v>47</v>
      </c>
      <c r="B49" t="s">
        <v>830</v>
      </c>
      <c r="C49" t="s">
        <v>829</v>
      </c>
      <c r="D49" t="s">
        <v>753</v>
      </c>
      <c r="E49">
        <f ca="1">IF(OR(uxb_settings!$B$4=1,uxb_settings!$B$4=3),1,0)</f>
        <v>1</v>
      </c>
      <c r="F49">
        <f ca="1">OFFSET(K49,0,uxb_settings!$B$7)</f>
        <v>1</v>
      </c>
      <c r="G49">
        <f ca="1">OFFSET(K49,0,uxb_settings!$B$9)</f>
        <v>1</v>
      </c>
      <c r="H49">
        <f ca="1">IF(A49=uxb_settings!$B$11,3,IF(F49=0,0,IF(G49=1,2,1)))</f>
        <v>2</v>
      </c>
      <c r="I49">
        <f ca="1">IF(A49=uxb_settings!$B$11,3,IF(OR(F49=0,E49=0),0,IF(G49=1,2,1)))</f>
        <v>2</v>
      </c>
      <c r="L49">
        <v>0</v>
      </c>
      <c r="M49">
        <v>1</v>
      </c>
      <c r="N49">
        <v>0</v>
      </c>
      <c r="O49">
        <v>0</v>
      </c>
      <c r="P49">
        <v>1</v>
      </c>
      <c r="Q49">
        <v>0</v>
      </c>
      <c r="R49">
        <v>0</v>
      </c>
      <c r="S49">
        <v>0</v>
      </c>
      <c r="T49">
        <v>0</v>
      </c>
    </row>
    <row r="50" spans="1:21">
      <c r="A50" s="3">
        <v>48</v>
      </c>
      <c r="B50" t="s">
        <v>832</v>
      </c>
      <c r="C50" t="s">
        <v>831</v>
      </c>
      <c r="D50" t="s">
        <v>750</v>
      </c>
      <c r="E50">
        <f ca="1">IF(OR(uxb_settings!$B$4=1,uxb_settings!$B$4=3),1,0)</f>
        <v>1</v>
      </c>
      <c r="F50">
        <f ca="1">OFFSET(K50,0,uxb_settings!$B$7)</f>
        <v>1</v>
      </c>
      <c r="G50">
        <f ca="1">OFFSET(K50,0,uxb_settings!$B$9)</f>
        <v>1</v>
      </c>
      <c r="H50">
        <f ca="1">IF(A50=uxb_settings!$B$11,3,IF(F50=0,0,IF(G50=1,2,1)))</f>
        <v>2</v>
      </c>
      <c r="I50">
        <f ca="1">IF(A50=uxb_settings!$B$11,3,IF(OR(F50=0,E50=0),0,IF(G50=1,2,1)))</f>
        <v>2</v>
      </c>
      <c r="L50">
        <v>0</v>
      </c>
      <c r="M50">
        <v>1</v>
      </c>
      <c r="N50">
        <v>0</v>
      </c>
      <c r="O50">
        <v>0</v>
      </c>
      <c r="P50">
        <v>0</v>
      </c>
      <c r="Q50">
        <v>1</v>
      </c>
      <c r="R50">
        <v>0</v>
      </c>
      <c r="S50">
        <v>0</v>
      </c>
      <c r="T50">
        <v>1</v>
      </c>
    </row>
    <row r="51" spans="1:21">
      <c r="A51" s="3">
        <v>49</v>
      </c>
      <c r="B51" t="s">
        <v>834</v>
      </c>
      <c r="C51" t="s">
        <v>833</v>
      </c>
      <c r="D51" t="s">
        <v>733</v>
      </c>
      <c r="E51">
        <f ca="1">IF(OR(uxb_settings!$B$4=1,uxb_settings!$B$4=3),1,0)</f>
        <v>1</v>
      </c>
      <c r="F51">
        <f ca="1">OFFSET(K51,0,uxb_settings!$B$7)</f>
        <v>1</v>
      </c>
      <c r="G51">
        <f ca="1">OFFSET(K51,0,uxb_settings!$B$9)</f>
        <v>1</v>
      </c>
      <c r="H51">
        <f ca="1">IF(A51=uxb_settings!$B$11,3,IF(F51=0,0,IF(G51=1,2,1)))</f>
        <v>2</v>
      </c>
      <c r="I51">
        <f ca="1">IF(A51=uxb_settings!$B$11,3,IF(OR(F51=0,E51=0),0,IF(G51=1,2,1)))</f>
        <v>2</v>
      </c>
      <c r="L51">
        <v>0</v>
      </c>
      <c r="M51">
        <v>1</v>
      </c>
      <c r="N51">
        <v>0</v>
      </c>
      <c r="O51">
        <v>0</v>
      </c>
      <c r="P51">
        <v>0</v>
      </c>
      <c r="Q51">
        <v>0</v>
      </c>
      <c r="R51">
        <v>1</v>
      </c>
      <c r="S51">
        <v>0</v>
      </c>
      <c r="T51">
        <v>0</v>
      </c>
    </row>
    <row r="52" spans="1:21">
      <c r="A52" s="3">
        <v>50</v>
      </c>
      <c r="B52" t="s">
        <v>836</v>
      </c>
      <c r="C52" t="s">
        <v>835</v>
      </c>
      <c r="D52" t="s">
        <v>736</v>
      </c>
      <c r="E52">
        <f ca="1">IF(OR(uxb_settings!$B$4=1,uxb_settings!$B$4=3),1,0)</f>
        <v>1</v>
      </c>
      <c r="F52">
        <f ca="1">OFFSET(K52,0,uxb_settings!$B$7)</f>
        <v>1</v>
      </c>
      <c r="G52">
        <f ca="1">OFFSET(K52,0,uxb_settings!$B$9)</f>
        <v>1</v>
      </c>
      <c r="H52">
        <f ca="1">IF(A52=uxb_settings!$B$11,3,IF(F52=0,0,IF(G52=1,2,1)))</f>
        <v>2</v>
      </c>
      <c r="I52">
        <f ca="1">IF(A52=uxb_settings!$B$11,3,IF(OR(F52=0,E52=0),0,IF(G52=1,2,1)))</f>
        <v>2</v>
      </c>
      <c r="L52">
        <v>0</v>
      </c>
      <c r="M52">
        <v>1</v>
      </c>
      <c r="N52">
        <v>1</v>
      </c>
      <c r="O52">
        <v>0</v>
      </c>
      <c r="P52">
        <v>0</v>
      </c>
      <c r="Q52">
        <v>0</v>
      </c>
      <c r="R52">
        <v>0</v>
      </c>
      <c r="S52">
        <v>0</v>
      </c>
      <c r="T52">
        <v>0</v>
      </c>
    </row>
    <row r="53" spans="1:21">
      <c r="A53" s="3">
        <v>51</v>
      </c>
      <c r="B53" t="s">
        <v>838</v>
      </c>
      <c r="C53" t="s">
        <v>837</v>
      </c>
      <c r="D53" t="s">
        <v>753</v>
      </c>
      <c r="E53">
        <f ca="1">IF(OR(uxb_settings!$B$4=1,uxb_settings!$B$4=3),1,0)</f>
        <v>1</v>
      </c>
      <c r="F53">
        <f ca="1">OFFSET(K53,0,uxb_settings!$B$7)</f>
        <v>1</v>
      </c>
      <c r="G53">
        <f ca="1">OFFSET(K53,0,uxb_settings!$B$9)</f>
        <v>1</v>
      </c>
      <c r="H53">
        <f ca="1">IF(A53=uxb_settings!$B$11,3,IF(F53=0,0,IF(G53=1,2,1)))</f>
        <v>2</v>
      </c>
      <c r="I53">
        <f ca="1">IF(A53=uxb_settings!$B$11,3,IF(OR(F53=0,E53=0),0,IF(G53=1,2,1)))</f>
        <v>2</v>
      </c>
      <c r="L53">
        <v>0</v>
      </c>
      <c r="M53">
        <v>1</v>
      </c>
      <c r="N53">
        <v>0</v>
      </c>
      <c r="O53">
        <v>0</v>
      </c>
      <c r="P53">
        <v>1</v>
      </c>
      <c r="Q53">
        <v>0</v>
      </c>
      <c r="R53">
        <v>0</v>
      </c>
      <c r="S53">
        <v>0</v>
      </c>
      <c r="T53">
        <v>0</v>
      </c>
    </row>
    <row r="54" spans="1:21">
      <c r="A54" s="3">
        <v>52</v>
      </c>
      <c r="B54" t="s">
        <v>840</v>
      </c>
      <c r="C54" t="s">
        <v>839</v>
      </c>
      <c r="D54" t="s">
        <v>733</v>
      </c>
      <c r="E54">
        <f ca="1">IF(OR(uxb_settings!$B$4=1,uxb_settings!$B$4=3),1,0)</f>
        <v>1</v>
      </c>
      <c r="F54">
        <f ca="1">OFFSET(K54,0,uxb_settings!$B$7)</f>
        <v>1</v>
      </c>
      <c r="G54">
        <f ca="1">OFFSET(K54,0,uxb_settings!$B$9)</f>
        <v>1</v>
      </c>
      <c r="H54">
        <f ca="1">IF(A54=uxb_settings!$B$11,3,IF(F54=0,0,IF(G54=1,2,1)))</f>
        <v>2</v>
      </c>
      <c r="I54">
        <f ca="1">IF(A54=uxb_settings!$B$11,3,IF(OR(F54=0,E54=0),0,IF(G54=1,2,1)))</f>
        <v>2</v>
      </c>
      <c r="L54">
        <v>0</v>
      </c>
      <c r="M54">
        <v>1</v>
      </c>
      <c r="N54">
        <v>0</v>
      </c>
      <c r="O54">
        <v>0</v>
      </c>
      <c r="P54">
        <v>0</v>
      </c>
      <c r="Q54">
        <v>0</v>
      </c>
      <c r="R54">
        <v>1</v>
      </c>
      <c r="S54">
        <v>0</v>
      </c>
      <c r="T54">
        <v>0</v>
      </c>
    </row>
    <row r="55" spans="1:21">
      <c r="A55" s="3">
        <v>53</v>
      </c>
      <c r="B55" t="s">
        <v>842</v>
      </c>
      <c r="C55" t="s">
        <v>841</v>
      </c>
      <c r="D55" t="s">
        <v>733</v>
      </c>
      <c r="E55">
        <f ca="1">IF(OR(uxb_settings!$B$4=1,uxb_settings!$B$4=3),1,0)</f>
        <v>1</v>
      </c>
      <c r="F55">
        <f ca="1">OFFSET(K55,0,uxb_settings!$B$7)</f>
        <v>1</v>
      </c>
      <c r="G55">
        <f ca="1">OFFSET(K55,0,uxb_settings!$B$9)</f>
        <v>1</v>
      </c>
      <c r="H55">
        <f ca="1">IF(A55=uxb_settings!$B$11,3,IF(F55=0,0,IF(G55=1,2,1)))</f>
        <v>2</v>
      </c>
      <c r="I55">
        <f ca="1">IF(A55=uxb_settings!$B$11,3,IF(OR(F55=0,E55=0),0,IF(G55=1,2,1)))</f>
        <v>2</v>
      </c>
      <c r="L55">
        <v>0</v>
      </c>
      <c r="M55">
        <v>1</v>
      </c>
      <c r="N55">
        <v>0</v>
      </c>
      <c r="O55">
        <v>0</v>
      </c>
      <c r="P55">
        <v>0</v>
      </c>
      <c r="Q55">
        <v>0</v>
      </c>
      <c r="R55">
        <v>1</v>
      </c>
      <c r="S55">
        <v>0</v>
      </c>
      <c r="T55">
        <v>0</v>
      </c>
    </row>
    <row r="56" spans="1:21">
      <c r="A56" s="3">
        <v>54</v>
      </c>
      <c r="B56" t="s">
        <v>844</v>
      </c>
      <c r="C56" t="s">
        <v>843</v>
      </c>
      <c r="D56" t="s">
        <v>750</v>
      </c>
      <c r="E56">
        <f ca="1">IF(OR(uxb_settings!$B$4=1,uxb_settings!$B$4=3),1,0)</f>
        <v>1</v>
      </c>
      <c r="F56">
        <f ca="1">OFFSET(K56,0,uxb_settings!$B$7)</f>
        <v>1</v>
      </c>
      <c r="G56">
        <f ca="1">OFFSET(K56,0,uxb_settings!$B$9)</f>
        <v>1</v>
      </c>
      <c r="H56">
        <f ca="1">IF(A56=uxb_settings!$B$11,3,IF(F56=0,0,IF(G56=1,2,1)))</f>
        <v>2</v>
      </c>
      <c r="I56">
        <f ca="1">IF(A56=uxb_settings!$B$11,3,IF(OR(F56=0,E56=0),0,IF(G56=1,2,1)))</f>
        <v>2</v>
      </c>
      <c r="L56">
        <v>0</v>
      </c>
      <c r="M56">
        <v>1</v>
      </c>
      <c r="N56">
        <v>0</v>
      </c>
      <c r="O56">
        <v>0</v>
      </c>
      <c r="P56">
        <v>0</v>
      </c>
      <c r="Q56">
        <v>1</v>
      </c>
      <c r="R56">
        <v>0</v>
      </c>
      <c r="S56">
        <v>0</v>
      </c>
      <c r="T56">
        <v>1</v>
      </c>
    </row>
    <row r="57" spans="1:21">
      <c r="A57" s="3">
        <v>55</v>
      </c>
      <c r="B57" t="s">
        <v>846</v>
      </c>
      <c r="C57" t="s">
        <v>845</v>
      </c>
      <c r="D57" t="s">
        <v>794</v>
      </c>
      <c r="E57">
        <f ca="1">IF(OR(uxb_settings!$B$4=1,uxb_settings!$B$4=3),1,0)</f>
        <v>1</v>
      </c>
      <c r="F57">
        <f ca="1">OFFSET(K57,0,uxb_settings!$B$7)</f>
        <v>1</v>
      </c>
      <c r="G57">
        <f ca="1">OFFSET(K57,0,uxb_settings!$B$9)</f>
        <v>1</v>
      </c>
      <c r="H57">
        <f ca="1">IF(A57=uxb_settings!$B$11,3,IF(F57=0,0,IF(G57=1,2,1)))</f>
        <v>2</v>
      </c>
      <c r="I57">
        <f ca="1">IF(A57=uxb_settings!$B$11,3,IF(OR(F57=0,E57=0),0,IF(G57=1,2,1)))</f>
        <v>2</v>
      </c>
      <c r="L57">
        <v>0</v>
      </c>
      <c r="M57">
        <v>1</v>
      </c>
      <c r="N57">
        <v>0</v>
      </c>
      <c r="O57">
        <v>1</v>
      </c>
      <c r="P57">
        <v>0</v>
      </c>
      <c r="Q57">
        <v>0</v>
      </c>
      <c r="R57">
        <v>0</v>
      </c>
      <c r="S57">
        <v>0</v>
      </c>
      <c r="T57">
        <v>0</v>
      </c>
    </row>
    <row r="58" spans="1:21" s="12" customFormat="1">
      <c r="A58" s="11">
        <v>56</v>
      </c>
      <c r="B58" s="12" t="str">
        <f ca="1">tblRegions!B3</f>
        <v>ALL COUNTRIES</v>
      </c>
      <c r="C58" s="13" t="s">
        <v>854</v>
      </c>
      <c r="E58" s="12">
        <f ca="1">IF(OR(uxb_settings!$B$4=2,uxb_settings!$B$4=3),1,0)</f>
        <v>0</v>
      </c>
      <c r="F58" s="8">
        <f ca="1">IF(uxb_settings!$B$7=2,1,OFFSET(K58,0,uxb_settings!$B$7))</f>
        <v>1</v>
      </c>
      <c r="G58" s="12">
        <f ca="1">OFFSET(K58,0,uxb_settings!$B$9)</f>
        <v>1</v>
      </c>
      <c r="H58" s="8">
        <v>0</v>
      </c>
      <c r="I58" s="12">
        <f ca="1">IF(uxb_settings!$B$4=1,0,IF(uxb_settings!$B$4=2,IF(G58=1,3,2),IF(G58=1,3,IF(F58=1,2,0))))</f>
        <v>0</v>
      </c>
      <c r="L58" s="12">
        <v>0</v>
      </c>
      <c r="M58" s="12">
        <v>1</v>
      </c>
    </row>
    <row r="59" spans="1:21" s="12" customFormat="1">
      <c r="A59" s="11">
        <v>57</v>
      </c>
      <c r="B59" s="12" t="str">
        <f ca="1">tblRegions!B4</f>
        <v>EASTERN EUROPE/CENTRAL ASIA</v>
      </c>
      <c r="C59" s="13" t="s">
        <v>855</v>
      </c>
      <c r="E59" s="12">
        <f ca="1">IF(OR(uxb_settings!$B$4=2,uxb_settings!$B$4=3),1,0)</f>
        <v>0</v>
      </c>
      <c r="F59" s="8">
        <f ca="1">IF(uxb_settings!$B$7=2,1,OFFSET(K59,0,uxb_settings!$B$7))</f>
        <v>1</v>
      </c>
      <c r="G59" s="12">
        <f ca="1">OFFSET(K59,0,uxb_settings!$B$9)</f>
        <v>0</v>
      </c>
      <c r="H59" s="8">
        <v>0</v>
      </c>
      <c r="I59" s="12">
        <f ca="1">IF(uxb_settings!$B$4=1,0,IF(uxb_settings!$B$4=2,IF(G59=1,3,2),IF(G59=1,3,IF(F59=1,2,0))))</f>
        <v>0</v>
      </c>
      <c r="L59" s="12">
        <v>0</v>
      </c>
      <c r="N59" s="12">
        <v>1</v>
      </c>
    </row>
    <row r="60" spans="1:21" s="12" customFormat="1">
      <c r="A60" s="11">
        <v>58</v>
      </c>
      <c r="B60" s="12" t="str">
        <f ca="1">tblRegions!B5</f>
        <v>MIDDLE EAST/NORTH AFRICA</v>
      </c>
      <c r="C60" s="13" t="s">
        <v>856</v>
      </c>
      <c r="E60" s="12">
        <f ca="1">IF(OR(uxb_settings!$B$4=2,uxb_settings!$B$4=3),1,0)</f>
        <v>0</v>
      </c>
      <c r="F60" s="8">
        <f ca="1">IF(uxb_settings!$B$7=2,1,OFFSET(K60,0,uxb_settings!$B$7))</f>
        <v>1</v>
      </c>
      <c r="G60" s="12">
        <f ca="1">OFFSET(K60,0,uxb_settings!$B$9)</f>
        <v>0</v>
      </c>
      <c r="H60" s="8">
        <v>0</v>
      </c>
      <c r="I60" s="12">
        <f ca="1">IF(uxb_settings!$B$4=1,0,IF(uxb_settings!$B$4=2,IF(G60=1,3,2),IF(G60=1,3,IF(F60=1,2,0))))</f>
        <v>0</v>
      </c>
      <c r="L60" s="12">
        <v>0</v>
      </c>
      <c r="O60" s="12">
        <v>1</v>
      </c>
    </row>
    <row r="61" spans="1:21" s="12" customFormat="1">
      <c r="A61" s="11">
        <v>59</v>
      </c>
      <c r="B61" s="12" t="str">
        <f ca="1">tblRegions!B6</f>
        <v>SUB-SAHARAN AFRICA</v>
      </c>
      <c r="C61" s="13" t="s">
        <v>857</v>
      </c>
      <c r="E61" s="12">
        <f ca="1">IF(OR(uxb_settings!$B$4=2,uxb_settings!$B$4=3),1,0)</f>
        <v>0</v>
      </c>
      <c r="F61" s="8">
        <f ca="1">IF(uxb_settings!$B$7=2,1,OFFSET(K61,0,uxb_settings!$B$7))</f>
        <v>1</v>
      </c>
      <c r="G61" s="12">
        <f ca="1">OFFSET(K61,0,uxb_settings!$B$9)</f>
        <v>0</v>
      </c>
      <c r="H61" s="8">
        <v>0</v>
      </c>
      <c r="I61" s="12">
        <f ca="1">IF(uxb_settings!$B$4=1,0,IF(uxb_settings!$B$4=2,IF(G61=1,3,2),IF(G61=1,3,IF(F61=1,2,0))))</f>
        <v>0</v>
      </c>
      <c r="L61" s="12">
        <v>0</v>
      </c>
      <c r="P61" s="12">
        <v>1</v>
      </c>
    </row>
    <row r="62" spans="1:21" s="12" customFormat="1">
      <c r="A62" s="11">
        <v>60</v>
      </c>
      <c r="B62" s="12" t="str">
        <f ca="1">tblRegions!B7</f>
        <v>ALL ASIA</v>
      </c>
      <c r="C62" s="13" t="s">
        <v>858</v>
      </c>
      <c r="E62" s="12">
        <f ca="1">IF(OR(uxb_settings!$B$4=2,uxb_settings!$B$4=3),1,0)</f>
        <v>0</v>
      </c>
      <c r="F62" s="8">
        <f ca="1">IF(uxb_settings!$B$7=2,1,OFFSET(K62,0,uxb_settings!$B$7))</f>
        <v>1</v>
      </c>
      <c r="G62" s="12">
        <f ca="1">OFFSET(K62,0,uxb_settings!$B$9)</f>
        <v>0</v>
      </c>
      <c r="H62" s="8">
        <v>0</v>
      </c>
      <c r="I62" s="12">
        <f ca="1">IF(uxb_settings!$B$4=1,0,IF(uxb_settings!$B$4=2,IF(G62=1,3,2),IF(G62=1,3,IF(F62=1,2,0))))</f>
        <v>0</v>
      </c>
      <c r="L62" s="12">
        <v>0</v>
      </c>
      <c r="Q62" s="12">
        <v>1</v>
      </c>
    </row>
    <row r="63" spans="1:21" s="12" customFormat="1">
      <c r="A63" s="11">
        <v>61</v>
      </c>
      <c r="B63" s="12" t="str">
        <f ca="1">tblRegions!B8</f>
        <v>LATIN AMERICA/CARIBBEAN</v>
      </c>
      <c r="C63" s="13" t="s">
        <v>859</v>
      </c>
      <c r="E63" s="12">
        <f ca="1">IF(OR(uxb_settings!$B$4=2,uxb_settings!$B$4=3),1,0)</f>
        <v>0</v>
      </c>
      <c r="F63" s="8">
        <f ca="1">IF(uxb_settings!$B$7=2,1,OFFSET(K63,0,uxb_settings!$B$7))</f>
        <v>1</v>
      </c>
      <c r="G63" s="12">
        <f ca="1">OFFSET(K63,0,uxb_settings!$B$9)</f>
        <v>0</v>
      </c>
      <c r="H63" s="8">
        <v>0</v>
      </c>
      <c r="I63" s="12">
        <f ca="1">IF(uxb_settings!$B$4=1,0,IF(uxb_settings!$B$4=2,IF(G63=1,3,2),IF(G63=1,3,IF(F63=1,2,0))))</f>
        <v>0</v>
      </c>
      <c r="L63" s="12">
        <v>0</v>
      </c>
      <c r="R63" s="12">
        <v>1</v>
      </c>
    </row>
    <row r="64" spans="1:21">
      <c r="A64" s="11">
        <v>62</v>
      </c>
      <c r="B64" s="12" t="str">
        <f ca="1">tblRegions!B9</f>
        <v>SOUTH ASIA</v>
      </c>
      <c r="C64" s="13" t="s">
        <v>722</v>
      </c>
      <c r="D64" s="12"/>
      <c r="E64" s="12">
        <f ca="1">IF(OR(uxb_settings!$B$4=2,uxb_settings!$B$4=3),1,0)</f>
        <v>0</v>
      </c>
      <c r="F64" s="8">
        <f ca="1">IF(uxb_settings!$B$7=2,1,OFFSET(K64,0,uxb_settings!$B$7))</f>
        <v>1</v>
      </c>
      <c r="G64" s="12">
        <f ca="1">OFFSET(K64,0,uxb_settings!$B$9)</f>
        <v>0</v>
      </c>
      <c r="H64" s="8">
        <v>0</v>
      </c>
      <c r="I64" s="12">
        <f ca="1">IF(uxb_settings!$B$4=1,0,IF(uxb_settings!$B$4=2,IF(G64=1,3,2),IF(G64=1,3,IF(F64=1,2,0))))</f>
        <v>0</v>
      </c>
      <c r="J64" s="12"/>
      <c r="K64" s="12"/>
      <c r="L64" s="12">
        <v>0</v>
      </c>
      <c r="M64" s="12"/>
      <c r="N64" s="12"/>
      <c r="O64" s="12"/>
      <c r="P64" s="12"/>
      <c r="Q64" s="12"/>
      <c r="R64" s="12"/>
      <c r="S64" s="12">
        <v>1</v>
      </c>
      <c r="T64" s="12"/>
      <c r="U64" s="12"/>
    </row>
    <row r="65" spans="1:21">
      <c r="A65" s="11">
        <v>63</v>
      </c>
      <c r="B65" s="12" t="str">
        <f ca="1">tblRegions!B10</f>
        <v>EAST ASIA</v>
      </c>
      <c r="C65" s="13" t="s">
        <v>723</v>
      </c>
      <c r="D65" s="12"/>
      <c r="E65" s="12">
        <f ca="1">IF(OR(uxb_settings!$B$4=2,uxb_settings!$B$4=3),1,0)</f>
        <v>0</v>
      </c>
      <c r="F65" s="8">
        <f ca="1">IF(uxb_settings!$B$7=2,1,OFFSET(K65,0,uxb_settings!$B$7))</f>
        <v>1</v>
      </c>
      <c r="G65" s="12">
        <f ca="1">OFFSET(K65,0,uxb_settings!$B$9)</f>
        <v>0</v>
      </c>
      <c r="H65" s="8">
        <v>0</v>
      </c>
      <c r="I65" s="12">
        <f ca="1">IF(uxb_settings!$B$4=1,0,IF(uxb_settings!$B$4=2,IF(G65=1,3,2),IF(G65=1,3,IF(F65=1,2,0))))</f>
        <v>0</v>
      </c>
      <c r="J65" s="12"/>
      <c r="K65" s="12"/>
      <c r="L65" s="12">
        <v>0</v>
      </c>
      <c r="M65" s="12"/>
      <c r="N65" s="12"/>
      <c r="O65" s="12"/>
      <c r="P65" s="12"/>
      <c r="Q65" s="12"/>
      <c r="R65" s="12"/>
      <c r="S65" s="12"/>
      <c r="T65" s="12">
        <v>1</v>
      </c>
      <c r="U65" s="12"/>
    </row>
    <row r="66" spans="1:21">
      <c r="A66" s="11">
        <v>64</v>
      </c>
      <c r="B66" s="12">
        <f ca="1">tblRegions!B11</f>
        <v>0</v>
      </c>
      <c r="C66" s="13" t="s">
        <v>724</v>
      </c>
      <c r="D66" s="12"/>
      <c r="E66" s="12">
        <f ca="1">IF(OR(uxb_settings!$B$4=2,uxb_settings!$B$4=3),1,0)</f>
        <v>0</v>
      </c>
      <c r="F66" s="8">
        <f ca="1">IF(uxb_settings!$B$7=2,1,OFFSET(K66,0,uxb_settings!$B$7))</f>
        <v>1</v>
      </c>
      <c r="G66" s="12">
        <f ca="1">OFFSET(K66,0,uxb_settings!$B$9)</f>
        <v>0</v>
      </c>
      <c r="H66" s="8">
        <v>0</v>
      </c>
      <c r="I66" s="12">
        <f ca="1">IF(uxb_settings!$B$4=1,0,IF(uxb_settings!$B$4=2,IF(G66=1,3,2),IF(G66=1,3,IF(F66=1,2,0))))</f>
        <v>0</v>
      </c>
      <c r="J66" s="12"/>
      <c r="K66" s="12"/>
      <c r="L66" s="12">
        <v>0</v>
      </c>
      <c r="M66" s="12"/>
      <c r="N66" s="12"/>
      <c r="O66" s="12"/>
      <c r="P66" s="12"/>
      <c r="Q66" s="12"/>
      <c r="R66" s="12"/>
      <c r="S66" s="12"/>
      <c r="T66" s="12"/>
      <c r="U66" s="12">
        <v>1</v>
      </c>
    </row>
    <row r="67" spans="1:21">
      <c r="A67" s="11">
        <v>65</v>
      </c>
      <c r="B67" s="12">
        <f ca="1">tblRegions!B12</f>
        <v>0</v>
      </c>
      <c r="C67" s="13" t="s">
        <v>725</v>
      </c>
      <c r="D67" s="12"/>
      <c r="E67" s="12">
        <f ca="1">IF(OR(uxb_settings!$B$4=2,uxb_settings!$B$4=3),1,0)</f>
        <v>0</v>
      </c>
      <c r="F67" s="8">
        <f ca="1">IF(uxb_settings!$B$7=2,1,OFFSET(K67,0,uxb_settings!$B$7))</f>
        <v>1</v>
      </c>
      <c r="G67" s="12">
        <f ca="1">OFFSET(K67,0,uxb_settings!$B$9)</f>
        <v>0</v>
      </c>
      <c r="H67" s="8">
        <v>0</v>
      </c>
      <c r="I67" s="12">
        <f ca="1">IF(uxb_settings!$B$4=1,0,IF(uxb_settings!$B$4=2,IF(G67=1,3,2),IF(G67=1,3,IF(F67=1,2,0))))</f>
        <v>0</v>
      </c>
      <c r="J67" s="12"/>
      <c r="K67" s="12"/>
      <c r="L67" s="12">
        <v>0</v>
      </c>
      <c r="M67" s="12"/>
      <c r="N67" s="12"/>
      <c r="O67" s="12"/>
      <c r="P67" s="12"/>
      <c r="Q67" s="12"/>
      <c r="R67" s="12"/>
      <c r="S67" s="12"/>
      <c r="T67" s="12"/>
      <c r="U67" s="12"/>
    </row>
    <row r="74" spans="1:21">
      <c r="A74" s="3">
        <f t="shared" ref="A74:A93" ca="1" si="0">MATCH(C74,lu_countries,0)</f>
        <v>1</v>
      </c>
      <c r="B74" s="57" t="s">
        <v>731</v>
      </c>
      <c r="C74" s="57" t="s">
        <v>732</v>
      </c>
    </row>
    <row r="75" spans="1:21">
      <c r="A75" s="3">
        <f t="shared" ca="1" si="0"/>
        <v>5</v>
      </c>
      <c r="B75" s="57" t="s">
        <v>742</v>
      </c>
      <c r="C75" s="57" t="s">
        <v>743</v>
      </c>
    </row>
    <row r="76" spans="1:21">
      <c r="A76" s="3">
        <f t="shared" ca="1" si="0"/>
        <v>7</v>
      </c>
      <c r="B76" s="57" t="s">
        <v>746</v>
      </c>
      <c r="C76" s="57" t="s">
        <v>747</v>
      </c>
    </row>
    <row r="77" spans="1:21">
      <c r="A77" s="3">
        <f t="shared" ca="1" si="0"/>
        <v>10</v>
      </c>
      <c r="B77" s="57" t="s">
        <v>754</v>
      </c>
      <c r="C77" s="57" t="s">
        <v>755</v>
      </c>
    </row>
    <row r="78" spans="1:21">
      <c r="A78" s="3">
        <f t="shared" ca="1" si="0"/>
        <v>12</v>
      </c>
      <c r="B78" s="57" t="s">
        <v>758</v>
      </c>
      <c r="C78" s="57" t="s">
        <v>759</v>
      </c>
    </row>
    <row r="79" spans="1:21">
      <c r="A79" s="3">
        <f t="shared" ca="1" si="0"/>
        <v>13</v>
      </c>
      <c r="B79" s="169" t="s">
        <v>760</v>
      </c>
      <c r="C79" s="169" t="s">
        <v>761</v>
      </c>
    </row>
    <row r="80" spans="1:21">
      <c r="A80" s="3">
        <f t="shared" ca="1" si="0"/>
        <v>14</v>
      </c>
      <c r="B80" t="s">
        <v>762</v>
      </c>
      <c r="C80" s="169" t="s">
        <v>763</v>
      </c>
    </row>
    <row r="81" spans="1:3">
      <c r="A81" s="3">
        <f t="shared" ca="1" si="0"/>
        <v>16</v>
      </c>
      <c r="B81" s="57" t="s">
        <v>766</v>
      </c>
      <c r="C81" s="57" t="s">
        <v>767</v>
      </c>
    </row>
    <row r="82" spans="1:3">
      <c r="A82" s="3">
        <f t="shared" ca="1" si="0"/>
        <v>17</v>
      </c>
      <c r="B82" s="57" t="s">
        <v>768</v>
      </c>
      <c r="C82" s="57" t="s">
        <v>769</v>
      </c>
    </row>
    <row r="83" spans="1:3">
      <c r="A83" s="3">
        <f t="shared" ca="1" si="0"/>
        <v>21</v>
      </c>
      <c r="B83" s="57" t="s">
        <v>776</v>
      </c>
      <c r="C83" s="57" t="s">
        <v>777</v>
      </c>
    </row>
    <row r="84" spans="1:3">
      <c r="A84" s="3">
        <f t="shared" ca="1" si="0"/>
        <v>22</v>
      </c>
      <c r="B84" s="169" t="s">
        <v>778</v>
      </c>
      <c r="C84" s="169" t="s">
        <v>779</v>
      </c>
    </row>
    <row r="85" spans="1:3">
      <c r="A85" s="3">
        <f t="shared" ca="1" si="0"/>
        <v>23</v>
      </c>
      <c r="B85" s="169" t="s">
        <v>780</v>
      </c>
      <c r="C85" s="169" t="s">
        <v>781</v>
      </c>
    </row>
    <row r="86" spans="1:3">
      <c r="A86" s="3">
        <f t="shared" ca="1" si="0"/>
        <v>26</v>
      </c>
      <c r="B86" s="169" t="s">
        <v>786</v>
      </c>
      <c r="C86" s="169" t="s">
        <v>787</v>
      </c>
    </row>
    <row r="87" spans="1:3">
      <c r="A87" s="3">
        <f t="shared" ca="1" si="0"/>
        <v>31</v>
      </c>
      <c r="B87" s="57" t="s">
        <v>797</v>
      </c>
      <c r="C87" s="57" t="s">
        <v>798</v>
      </c>
    </row>
    <row r="88" spans="1:3">
      <c r="A88" s="3">
        <f t="shared" ca="1" si="0"/>
        <v>36</v>
      </c>
      <c r="B88" s="57" t="s">
        <v>807</v>
      </c>
      <c r="C88" s="57" t="s">
        <v>808</v>
      </c>
    </row>
    <row r="89" spans="1:3">
      <c r="A89" s="3">
        <f t="shared" ca="1" si="0"/>
        <v>39</v>
      </c>
      <c r="B89" s="169" t="s">
        <v>813</v>
      </c>
      <c r="C89" s="169" t="s">
        <v>814</v>
      </c>
    </row>
    <row r="90" spans="1:3">
      <c r="A90" s="3">
        <f t="shared" ca="1" si="0"/>
        <v>40</v>
      </c>
      <c r="B90" s="57" t="s">
        <v>815</v>
      </c>
      <c r="C90" s="57" t="s">
        <v>816</v>
      </c>
    </row>
    <row r="91" spans="1:3">
      <c r="A91" s="3">
        <f t="shared" ca="1" si="0"/>
        <v>41</v>
      </c>
      <c r="B91" s="57" t="s">
        <v>817</v>
      </c>
      <c r="C91" s="57" t="s">
        <v>818</v>
      </c>
    </row>
    <row r="92" spans="1:3">
      <c r="A92" s="3">
        <f t="shared" ca="1" si="0"/>
        <v>52</v>
      </c>
      <c r="B92" s="169" t="s">
        <v>839</v>
      </c>
      <c r="C92" s="57" t="s">
        <v>840</v>
      </c>
    </row>
    <row r="93" spans="1:3">
      <c r="A93" s="3">
        <f t="shared" ca="1" si="0"/>
        <v>53</v>
      </c>
      <c r="B93" s="57" t="s">
        <v>841</v>
      </c>
      <c r="C93" s="57" t="s">
        <v>842</v>
      </c>
    </row>
  </sheetData>
  <phoneticPr fontId="0" type="noConversion"/>
  <pageMargins left="0.75" right="0.75" top="1" bottom="1" header="0.5" footer="0.5"/>
  <pageSetup paperSize="0" orientation="portrait" horizontalDpi="0" verticalDpi="0" copies="0" r:id="rId1"/>
  <headerFooter alignWithMargins="0"/>
</worksheet>
</file>

<file path=xl/worksheets/sheet21.xml><?xml version="1.0" encoding="utf-8"?>
<worksheet xmlns="http://schemas.openxmlformats.org/spreadsheetml/2006/main" xmlns:r="http://schemas.openxmlformats.org/officeDocument/2006/relationships">
  <sheetPr codeName="Sheet12"/>
  <dimension ref="A1:CF69"/>
  <sheetViews>
    <sheetView zoomScale="70" zoomScaleNormal="70" workbookViewId="0">
      <selection activeCell="F43" sqref="F43"/>
    </sheetView>
  </sheetViews>
  <sheetFormatPr defaultRowHeight="12.75"/>
  <cols>
    <col min="1" max="1" width="6.140625" customWidth="1"/>
    <col min="3" max="3" width="8.5703125" bestFit="1" customWidth="1"/>
    <col min="41" max="48" width="5.7109375" customWidth="1"/>
    <col min="50" max="57" width="5.7109375" customWidth="1"/>
    <col min="59" max="66" width="5.7109375" customWidth="1"/>
    <col min="68" max="75" width="5.7109375" customWidth="1"/>
    <col min="77" max="84" width="5.7109375" customWidth="1"/>
  </cols>
  <sheetData>
    <row r="1" spans="1:84">
      <c r="A1" t="s">
        <v>946</v>
      </c>
      <c r="B1">
        <f ca="1">uxb_settings!B20</f>
        <v>1</v>
      </c>
    </row>
    <row r="2" spans="1:84">
      <c r="A2" s="4" t="s">
        <v>1083</v>
      </c>
      <c r="B2" t="str">
        <f ca="1">uxb_settings!F20</f>
        <v>OVERALL</v>
      </c>
      <c r="C2">
        <f ca="1">MATCH(B2,scores_2009!C3:C28,0)</f>
        <v>1</v>
      </c>
    </row>
    <row r="3" spans="1:84">
      <c r="A3" t="s">
        <v>1080</v>
      </c>
      <c r="B3">
        <v>1</v>
      </c>
    </row>
    <row r="4" spans="1:84">
      <c r="A4" t="s">
        <v>1081</v>
      </c>
      <c r="AF4" s="76" t="s">
        <v>906</v>
      </c>
      <c r="AG4" s="76" t="s">
        <v>1091</v>
      </c>
      <c r="AH4" s="76"/>
      <c r="AI4" s="76"/>
      <c r="AJ4" s="76"/>
      <c r="AK4" s="76"/>
      <c r="AL4" s="76"/>
      <c r="AM4" s="76"/>
      <c r="AO4" t="s">
        <v>906</v>
      </c>
      <c r="AX4" t="s">
        <v>890</v>
      </c>
      <c r="BG4" t="s">
        <v>895</v>
      </c>
      <c r="BP4" t="s">
        <v>902</v>
      </c>
      <c r="BY4" t="str">
        <f ca="1">uxb_settings!B25</f>
        <v>OVERALL</v>
      </c>
    </row>
    <row r="5" spans="1:84">
      <c r="AF5">
        <f ca="1">MATCH(AF4,scores_2009!$C$3:$C$28,0)</f>
        <v>1</v>
      </c>
      <c r="AO5">
        <f ca="1">MATCH(AO4,scores_2009!$C$3:$C$28,0)</f>
        <v>1</v>
      </c>
      <c r="AX5">
        <f ca="1">MATCH(AX4,scores_2009!$C$3:$C$28,0)</f>
        <v>2</v>
      </c>
      <c r="BG5">
        <f ca="1">MATCH(BG4,scores_2009!$C$3:$C$28,0)</f>
        <v>3</v>
      </c>
      <c r="BP5">
        <f ca="1">MATCH(BP4,scores_2009!$C$3:$C$28,0)</f>
        <v>4</v>
      </c>
      <c r="BY5">
        <f ca="1">MATCH(BY4,scores_2009!$C$3:$C$28,0)</f>
        <v>1</v>
      </c>
    </row>
    <row r="6" spans="1:84" ht="15">
      <c r="A6" s="39" t="s">
        <v>1068</v>
      </c>
      <c r="B6" s="54" t="s">
        <v>727</v>
      </c>
      <c r="C6" s="54" t="s">
        <v>1069</v>
      </c>
      <c r="D6" s="55" t="s">
        <v>1070</v>
      </c>
      <c r="E6" s="54" t="s">
        <v>1071</v>
      </c>
      <c r="F6" s="39"/>
      <c r="G6" s="39" t="s">
        <v>1072</v>
      </c>
      <c r="H6" s="54" t="s">
        <v>947</v>
      </c>
      <c r="I6" s="54"/>
      <c r="J6" s="54"/>
      <c r="K6" s="54" t="s">
        <v>1073</v>
      </c>
      <c r="L6" s="54" t="s">
        <v>1074</v>
      </c>
      <c r="M6" s="54" t="s">
        <v>1073</v>
      </c>
      <c r="N6" s="54" t="s">
        <v>1075</v>
      </c>
      <c r="O6" s="54" t="s">
        <v>1076</v>
      </c>
      <c r="P6" s="55" t="s">
        <v>1070</v>
      </c>
      <c r="Q6" s="54" t="s">
        <v>947</v>
      </c>
      <c r="R6" s="54" t="s">
        <v>1077</v>
      </c>
      <c r="S6" s="54" t="s">
        <v>867</v>
      </c>
      <c r="T6" s="54" t="s">
        <v>1078</v>
      </c>
      <c r="U6" s="54" t="s">
        <v>1079</v>
      </c>
      <c r="AF6" s="77" t="s">
        <v>947</v>
      </c>
      <c r="AG6" s="78" t="s">
        <v>1073</v>
      </c>
      <c r="AH6" s="78" t="s">
        <v>1074</v>
      </c>
      <c r="AI6" s="78" t="s">
        <v>1073</v>
      </c>
      <c r="AJ6" s="79" t="s">
        <v>1075</v>
      </c>
      <c r="AK6" s="79" t="s">
        <v>1076</v>
      </c>
      <c r="AL6" s="79" t="s">
        <v>1070</v>
      </c>
      <c r="AM6" s="79" t="s">
        <v>947</v>
      </c>
      <c r="AN6" s="60"/>
      <c r="AO6" s="77" t="s">
        <v>947</v>
      </c>
      <c r="AP6" s="78" t="s">
        <v>1073</v>
      </c>
      <c r="AQ6" s="78" t="s">
        <v>1074</v>
      </c>
      <c r="AR6" s="78" t="s">
        <v>1073</v>
      </c>
      <c r="AS6" s="79" t="s">
        <v>1075</v>
      </c>
      <c r="AT6" s="79" t="s">
        <v>1076</v>
      </c>
      <c r="AU6" s="79" t="s">
        <v>1070</v>
      </c>
      <c r="AV6" s="79" t="s">
        <v>947</v>
      </c>
      <c r="AX6" s="77" t="s">
        <v>947</v>
      </c>
      <c r="AY6" s="78" t="s">
        <v>1073</v>
      </c>
      <c r="AZ6" s="78" t="s">
        <v>1074</v>
      </c>
      <c r="BA6" s="78" t="s">
        <v>1073</v>
      </c>
      <c r="BB6" s="79" t="s">
        <v>1075</v>
      </c>
      <c r="BC6" s="79" t="s">
        <v>1076</v>
      </c>
      <c r="BD6" s="79" t="s">
        <v>1070</v>
      </c>
      <c r="BE6" s="79" t="s">
        <v>947</v>
      </c>
      <c r="BG6" s="77" t="s">
        <v>947</v>
      </c>
      <c r="BH6" s="78" t="s">
        <v>1073</v>
      </c>
      <c r="BI6" s="78" t="s">
        <v>1074</v>
      </c>
      <c r="BJ6" s="78" t="s">
        <v>1073</v>
      </c>
      <c r="BK6" s="79" t="s">
        <v>1075</v>
      </c>
      <c r="BL6" s="79" t="s">
        <v>1076</v>
      </c>
      <c r="BM6" s="79" t="s">
        <v>1070</v>
      </c>
      <c r="BN6" s="79" t="s">
        <v>947</v>
      </c>
      <c r="BP6" s="77" t="s">
        <v>947</v>
      </c>
      <c r="BQ6" s="78" t="s">
        <v>1073</v>
      </c>
      <c r="BR6" s="78" t="s">
        <v>1074</v>
      </c>
      <c r="BS6" s="78" t="s">
        <v>1073</v>
      </c>
      <c r="BT6" s="79" t="s">
        <v>1075</v>
      </c>
      <c r="BU6" s="79" t="s">
        <v>1076</v>
      </c>
      <c r="BV6" s="79" t="s">
        <v>1070</v>
      </c>
      <c r="BW6" s="79" t="s">
        <v>947</v>
      </c>
      <c r="BY6" s="77" t="s">
        <v>947</v>
      </c>
      <c r="BZ6" s="78" t="s">
        <v>1073</v>
      </c>
      <c r="CA6" s="78" t="s">
        <v>1074</v>
      </c>
      <c r="CB6" s="78" t="s">
        <v>1073</v>
      </c>
      <c r="CC6" s="79" t="s">
        <v>1075</v>
      </c>
      <c r="CD6" s="79" t="s">
        <v>1076</v>
      </c>
      <c r="CE6" s="79" t="s">
        <v>1070</v>
      </c>
      <c r="CF6" s="79" t="s">
        <v>947</v>
      </c>
    </row>
    <row r="7" spans="1:84">
      <c r="A7">
        <v>1</v>
      </c>
      <c r="B7">
        <f ca="1">tblCountries!A3</f>
        <v>1</v>
      </c>
      <c r="C7" t="str">
        <f ca="1">tblCountries!C3</f>
        <v>AR</v>
      </c>
      <c r="D7" t="str">
        <f ca="1">tblCountries!B3</f>
        <v>Argentina</v>
      </c>
      <c r="E7">
        <f ca="1">tblCountries!H3</f>
        <v>2</v>
      </c>
      <c r="G7">
        <f ca="1">tblCountries!I3</f>
        <v>2</v>
      </c>
      <c r="H7">
        <f ca="1">IF(G7=0,"",ROUND(INDEX(norm_data,$C$2,$B7),$B$3))</f>
        <v>30.8</v>
      </c>
      <c r="K7" s="56">
        <f ca="1">IF($G7=0,"",RANK(H7,H$7:H$69)+COUNTIF(H$7:H7,H7)-1)</f>
        <v>43</v>
      </c>
      <c r="L7" s="57">
        <f ca="1">MATCH($A7,K$7:K$69,0)</f>
        <v>41</v>
      </c>
      <c r="M7" s="58">
        <v>1</v>
      </c>
      <c r="N7" s="57">
        <f ca="1">IF(ISERROR(L7),0,INDEX($G$7:$G$69,$L7))</f>
        <v>2</v>
      </c>
      <c r="O7" s="59">
        <f ca="1">IF(N7=0,"",IF(OR(M7=M6,M7=M8),CONCATENATE("=",M7),M7))</f>
        <v>1</v>
      </c>
      <c r="P7" t="str">
        <f ca="1">IF(N7=0,"",INDEX($D$7:$D$69,$L7))</f>
        <v>Peru</v>
      </c>
      <c r="Q7" s="60">
        <f ca="1">IF(N7=0,"",INDEX($H$7:$H$69,$L7))</f>
        <v>73.8</v>
      </c>
      <c r="AF7">
        <f t="shared" ref="AF7:AF38" ca="1" si="0">IF($E7&lt;0,"",ROUND(INDEX(norm_data,AF$5,$B7),$B$3))</f>
        <v>30.8</v>
      </c>
      <c r="AG7" s="56">
        <f ca="1">IF($E7&lt;0,"",RANK(AF7,AF$7:AF$61)+COUNTIF(AF$7:AF7,AF7)-1)</f>
        <v>43</v>
      </c>
      <c r="AH7" s="57">
        <f ca="1">MATCH($A7,AG$7:AG$61,0)</f>
        <v>41</v>
      </c>
      <c r="AI7" s="58">
        <v>1</v>
      </c>
      <c r="AJ7" s="57">
        <f ca="1">IF(ISERROR(AH7),0,INDEX($E$7:$E$61,AH7))</f>
        <v>2</v>
      </c>
      <c r="AK7" s="59">
        <f ca="1">IF($N7=0,"",IF(OR(AI7=AI6,AI7=AI8),CONCATENATE("=",AI7),AI7))</f>
        <v>1</v>
      </c>
      <c r="AL7" t="str">
        <f ca="1">IF(AJ7&lt;0,"",INDEX($D$7:$D$61,AH7))</f>
        <v>Peru</v>
      </c>
      <c r="AM7" s="60">
        <f ca="1">IF(AJ7&lt;0,"",INDEX(AF$7:AF$61,AH7))</f>
        <v>73.8</v>
      </c>
      <c r="AN7" s="60"/>
      <c r="AO7">
        <f t="shared" ref="AO7:AO38" ca="1" si="1">IF($G7=0,"",ROUND(INDEX(norm_data,AO$5,$B7),$B$3))</f>
        <v>30.8</v>
      </c>
      <c r="AP7" s="56">
        <f ca="1">IF($G7=0,"",RANK(AO7,AO$7:AO$69)+COUNTIF(AO$7:AO7,AO7)-1)</f>
        <v>43</v>
      </c>
      <c r="AQ7" s="57">
        <f ca="1">MATCH($A7,AP$7:AP$69,0)</f>
        <v>41</v>
      </c>
      <c r="AR7" s="58">
        <v>1</v>
      </c>
      <c r="AS7" s="57">
        <f ca="1">IF(ISERROR(AQ7),0,INDEX($G$7:$G$69,AQ7))</f>
        <v>2</v>
      </c>
      <c r="AT7" s="59">
        <f ca="1">IF(AS7=0,"",IF(OR(AR7=AR6,AR7=AR8),CONCATENATE("=",AR7),AR7))</f>
        <v>1</v>
      </c>
      <c r="AU7" t="str">
        <f ca="1">IF(AS7=0,"",INDEX($D$7:$D$69,AQ7))</f>
        <v>Peru</v>
      </c>
      <c r="AV7" s="60">
        <f ca="1">IF(AS7=0,"",INDEX(AO$7:AO$69,AQ7))</f>
        <v>73.8</v>
      </c>
      <c r="AX7">
        <f t="shared" ref="AX7:AX38" ca="1" si="2">IF($G7=0,"",ROUND(INDEX(norm_data,AX$5,$B7),$B$3))</f>
        <v>25</v>
      </c>
      <c r="AY7" s="56">
        <f ca="1">IF($G7=0,"",RANK(AX7,AX$7:AX$69)+COUNTIF(AX$7:AX7,AX7)-1)</f>
        <v>50</v>
      </c>
      <c r="AZ7" s="57">
        <f ca="1">MATCH($A7,AY$7:AY$69,0)</f>
        <v>8</v>
      </c>
      <c r="BA7" s="58">
        <v>1</v>
      </c>
      <c r="BB7" s="57">
        <f ca="1">IF(ISERROR(AZ7),0,INDEX($G$7:$G$69,AZ7))</f>
        <v>2</v>
      </c>
      <c r="BC7" s="59" t="str">
        <f ca="1">IF(BB7=0,"",IF(OR(BA7=BA6,BA7=BA8),CONCATENATE("=",BA7),BA7))</f>
        <v>=1</v>
      </c>
      <c r="BD7" t="str">
        <f ca="1">IF(BB7=0,"",INDEX($D$7:$D$69,AZ7))</f>
        <v>Cambodia</v>
      </c>
      <c r="BE7" s="60">
        <f ca="1">IF(BB7=0,"",INDEX(AX$7:AX$69,AZ7))</f>
        <v>87.5</v>
      </c>
      <c r="BG7">
        <f t="shared" ref="BG7:BG38" ca="1" si="3">IF($G7=0,"",ROUND(INDEX(norm_data,BG$5,$B7),$B$3))</f>
        <v>37.5</v>
      </c>
      <c r="BH7" s="56">
        <f ca="1">IF($G7=0,"",RANK(BG7,BG$7:BG$69)+COUNTIF(BG$7:BG7,BG7)-1)</f>
        <v>36</v>
      </c>
      <c r="BI7" s="57">
        <f ca="1">MATCH($A7,BH$7:BH$69,0)</f>
        <v>10</v>
      </c>
      <c r="BJ7" s="58">
        <v>1</v>
      </c>
      <c r="BK7" s="57">
        <f ca="1">IF(ISERROR(BI7),0,INDEX($G$7:$G$69,BI7))</f>
        <v>2</v>
      </c>
      <c r="BL7" s="59">
        <f ca="1">IF(BK7=0,"",IF(OR(BJ7=BJ6,BJ7=BJ8),CONCATENATE("=",BJ7),BJ7))</f>
        <v>1</v>
      </c>
      <c r="BM7" t="str">
        <f ca="1">IF(BK7=0,"",INDEX($D$7:$D$69,BI7))</f>
        <v>Chile</v>
      </c>
      <c r="BN7" s="60">
        <f ca="1">IF(BK7=0,"",INDEX(BG$7:BG$69,BI7))</f>
        <v>73.3</v>
      </c>
      <c r="BP7">
        <f t="shared" ref="BP7:BP38" ca="1" si="4">IF($G7=0,"",ROUND(INDEX(norm_data,BP$5,$B7),$B$3))</f>
        <v>33.299999999999997</v>
      </c>
      <c r="BQ7" s="56">
        <f ca="1">IF($G7=0,"",RANK(BP7,BP$7:BP$69)+COUNTIF(BP$7:BP7,BP7)-1)</f>
        <v>20</v>
      </c>
      <c r="BR7" s="57">
        <f ca="1">MATCH($A7,BQ$7:BQ$69,0)</f>
        <v>5</v>
      </c>
      <c r="BS7" s="58">
        <v>1</v>
      </c>
      <c r="BT7" s="57">
        <f ca="1">IF(ISERROR(BR7),0,INDEX($G$7:$G$69,BR7))</f>
        <v>2</v>
      </c>
      <c r="BU7" s="59" t="str">
        <f ca="1">IF(BT7=0,"",IF(OR(BS7=BS6,BS7=BS8),CONCATENATE("=",BS7),BS7))</f>
        <v>=1</v>
      </c>
      <c r="BV7" t="str">
        <f ca="1">IF(BT7=0,"",INDEX($D$7:$D$69,BR7))</f>
        <v>Bolivia</v>
      </c>
      <c r="BW7" s="60">
        <f ca="1">IF(BT7=0,"",INDEX(BP$7:BP$69,BR7))</f>
        <v>75</v>
      </c>
      <c r="BY7">
        <f t="shared" ref="BY7:BY69" ca="1" si="5">IF($G7=0,"",ROUND(INDEX(norm_data,BY$5,$B7),$B$3))</f>
        <v>30.8</v>
      </c>
      <c r="BZ7" s="56">
        <f ca="1">IF($G7=0,"",RANK(BY7,BY$7:BY$69)+COUNTIF(BY$7:BY7,BY7)-1)</f>
        <v>43</v>
      </c>
      <c r="CA7" s="57">
        <f ca="1">MATCH($A7,BZ$7:BZ$69,0)</f>
        <v>41</v>
      </c>
      <c r="CB7" s="58">
        <v>1</v>
      </c>
      <c r="CC7" s="57">
        <f ca="1">IF(ISERROR(CA7),0,INDEX($G$7:$G$69,CA7))</f>
        <v>2</v>
      </c>
      <c r="CD7" s="59">
        <f ca="1">IF(CC7=0,"",IF(OR(CB7=CB6,CB7=CB8),CONCATENATE("=",CB7),CB7))</f>
        <v>1</v>
      </c>
      <c r="CE7" t="str">
        <f ca="1">IF(CC7=0,"",INDEX($D$7:$D$69,CA7))</f>
        <v>Peru</v>
      </c>
      <c r="CF7" s="60">
        <f ca="1">IF(CC7=0,"",INDEX(BY$7:BY$69,CA7))</f>
        <v>73.8</v>
      </c>
    </row>
    <row r="8" spans="1:84">
      <c r="A8">
        <v>2</v>
      </c>
      <c r="B8">
        <f ca="1">tblCountries!A4</f>
        <v>2</v>
      </c>
      <c r="C8" t="str">
        <f ca="1">tblCountries!C4</f>
        <v>AM</v>
      </c>
      <c r="D8" t="str">
        <f ca="1">tblCountries!B4</f>
        <v>Armenia</v>
      </c>
      <c r="E8">
        <f ca="1">tblCountries!H4</f>
        <v>2</v>
      </c>
      <c r="G8">
        <f ca="1">tblCountries!I4</f>
        <v>2</v>
      </c>
      <c r="H8">
        <f t="shared" ref="H8:H38" ca="1" si="6">IF(G8=0,"",ROUND(INDEX(norm_data,$C$2,$B8),$B$3))</f>
        <v>43.9</v>
      </c>
      <c r="K8" s="56">
        <f ca="1">IF($G8=0,"",RANK(H8,H$7:H$69)+COUNTIF(H$7:H8,H8)-1)</f>
        <v>25</v>
      </c>
      <c r="L8" s="57">
        <f ca="1">MATCH($A8,K$7:K$69,0)</f>
        <v>5</v>
      </c>
      <c r="M8" s="57">
        <f ca="1">IF(ISERROR(L8),"",IF(ROUND(Q8,$B$3)=ROUND(Q7,$B$3),M7,$A8))</f>
        <v>2</v>
      </c>
      <c r="N8" s="57">
        <f ca="1">IF(ISERROR(L8),0,INDEX($G$7:$G$69,$L8))</f>
        <v>2</v>
      </c>
      <c r="O8" s="59">
        <f ca="1">IF(N8=0,"",IF(OR(M8=M7,M8=M9),CONCATENATE("=",M8),M8))</f>
        <v>2</v>
      </c>
      <c r="P8" t="str">
        <f ca="1">IF(N8=0,"",INDEX($D$7:$D$69,$L8))</f>
        <v>Bolivia</v>
      </c>
      <c r="Q8" s="60">
        <f ca="1">IF(N8=0,"",INDEX($H$7:$H$69,$L8))</f>
        <v>71.7</v>
      </c>
      <c r="AF8">
        <f t="shared" ca="1" si="0"/>
        <v>43.9</v>
      </c>
      <c r="AG8" s="56">
        <f ca="1">IF($E8&lt;0,"",RANK(AF8,AF$7:AF$61)+COUNTIF(AF$7:AF8,AF8)-1)</f>
        <v>25</v>
      </c>
      <c r="AH8" s="57">
        <f t="shared" ref="AH8:AH61" ca="1" si="7">MATCH($A8,AG$7:AG$61,0)</f>
        <v>5</v>
      </c>
      <c r="AI8" s="57">
        <f ca="1">IF(ISERROR(AH8),"",IF(ROUND(AM8,$B$3)=ROUND(AM7,$B$3),AI7,$A8))</f>
        <v>2</v>
      </c>
      <c r="AJ8" s="57">
        <f ca="1">IF(ISERROR(AH8),0,INDEX($E$7:$E$61,AH8))</f>
        <v>2</v>
      </c>
      <c r="AK8" s="59">
        <f ca="1">IF($N8=0,"",IF(OR(AI8=AI7,AI8=AI9),CONCATENATE("=",AI8),AI8))</f>
        <v>2</v>
      </c>
      <c r="AL8" t="str">
        <f ca="1">IF(AJ8&lt;0,"",INDEX($D$7:$D$61,AH8))</f>
        <v>Bolivia</v>
      </c>
      <c r="AM8" s="60">
        <f ca="1">IF(AJ8&lt;0,"",INDEX(AF$7:AF$61,AH8))</f>
        <v>71.7</v>
      </c>
      <c r="AN8" s="60"/>
      <c r="AO8">
        <f t="shared" ca="1" si="1"/>
        <v>43.9</v>
      </c>
      <c r="AP8" s="56">
        <f ca="1">IF($G8=0,"",RANK(AO8,AO$7:AO$69)+COUNTIF(AO$7:AO8,AO8)-1)</f>
        <v>25</v>
      </c>
      <c r="AQ8" s="57">
        <f ca="1">MATCH($A8,AP$7:AP$69,0)</f>
        <v>5</v>
      </c>
      <c r="AR8" s="57">
        <f ca="1">IF(ISERROR(AQ8),"",IF(ROUND(AV8,$B$3)=ROUND(AV7,$B$3),AR7,$A8))</f>
        <v>2</v>
      </c>
      <c r="AS8" s="57">
        <f ca="1">IF(ISERROR(AQ8),0,INDEX($G$7:$G$69,AQ8))</f>
        <v>2</v>
      </c>
      <c r="AT8" s="59">
        <f ca="1">IF(AS8=0,"",IF(OR(AR8=AR7,AR8=AR9),CONCATENATE("=",AR8),AR8))</f>
        <v>2</v>
      </c>
      <c r="AU8" t="str">
        <f t="shared" ref="AU8:AU66" ca="1" si="8">IF(AS8=0,"",INDEX($D$7:$D$69,AQ8))</f>
        <v>Bolivia</v>
      </c>
      <c r="AV8" s="60">
        <f t="shared" ref="AV8:AV66" ca="1" si="9">IF(AS8=0,"",INDEX(AO$7:AO$69,AQ8))</f>
        <v>71.7</v>
      </c>
      <c r="AX8">
        <f t="shared" ca="1" si="2"/>
        <v>50</v>
      </c>
      <c r="AY8" s="56">
        <f ca="1">IF($G8=0,"",RANK(AX8,AX$7:AX$69)+COUNTIF(AX$7:AX8,AX8)-1)</f>
        <v>26</v>
      </c>
      <c r="AZ8" s="57">
        <f ca="1">MATCH($A8,AY$7:AY$69,0)</f>
        <v>42</v>
      </c>
      <c r="BA8" s="57">
        <f ca="1">IF(ISERROR(AZ8),"",IF(ROUND(BE8,$B$3)=ROUND(BE7,$B$3),BA7,$A8))</f>
        <v>1</v>
      </c>
      <c r="BB8" s="57">
        <f ca="1">IF(ISERROR(AZ8),0,INDEX($G$7:$G$69,AZ8))</f>
        <v>2</v>
      </c>
      <c r="BC8" s="59" t="str">
        <f ca="1">IF(BB8=0,"",IF(OR(BA8=BA7,BA8=BA9),CONCATENATE("=",BA8),BA8))</f>
        <v>=1</v>
      </c>
      <c r="BD8" t="str">
        <f t="shared" ref="BD8:BD66" ca="1" si="10">IF(BB8=0,"",INDEX($D$7:$D$69,AZ8))</f>
        <v>Philippines</v>
      </c>
      <c r="BE8" s="60">
        <f t="shared" ref="BE8:BE66" ca="1" si="11">IF(BB8=0,"",INDEX(AX$7:AX$69,AZ8))</f>
        <v>87.5</v>
      </c>
      <c r="BG8">
        <f t="shared" ca="1" si="3"/>
        <v>53.1</v>
      </c>
      <c r="BH8" s="56">
        <f ca="1">IF($G8=0,"",RANK(BG8,BG$7:BG$69)+COUNTIF(BG$7:BG8,BG8)-1)</f>
        <v>13</v>
      </c>
      <c r="BI8" s="57">
        <f ca="1">MATCH($A8,BH$7:BH$69,0)</f>
        <v>50</v>
      </c>
      <c r="BJ8" s="57">
        <f ca="1">IF(ISERROR(BI8),"",IF(ROUND(BN8,$B$3)=ROUND(BN7,$B$3),BJ7,$A8))</f>
        <v>2</v>
      </c>
      <c r="BK8" s="57">
        <f ca="1">IF(ISERROR(BI8),0,INDEX($G$7:$G$69,BI8))</f>
        <v>2</v>
      </c>
      <c r="BL8" s="59">
        <f ca="1">IF(BK8=0,"",IF(OR(BJ8=BJ7,BJ8=BJ9),CONCATENATE("=",BJ8),BJ8))</f>
        <v>2</v>
      </c>
      <c r="BM8" t="str">
        <f t="shared" ref="BM8:BM66" ca="1" si="12">IF(BK8=0,"",INDEX($D$7:$D$69,BI8))</f>
        <v>Turkey</v>
      </c>
      <c r="BN8" s="60">
        <f t="shared" ref="BN8:BN66" ca="1" si="13">IF(BK8=0,"",INDEX(BG$7:BG$69,BI8))</f>
        <v>68.099999999999994</v>
      </c>
      <c r="BP8">
        <f t="shared" ca="1" si="4"/>
        <v>33.299999999999997</v>
      </c>
      <c r="BQ8" s="56">
        <f ca="1">IF($G8=0,"",RANK(BP8,BP$7:BP$69)+COUNTIF(BP$7:BP8,BP8)-1)</f>
        <v>21</v>
      </c>
      <c r="BR8" s="57">
        <f ca="1">MATCH($A8,BQ$7:BQ$69,0)</f>
        <v>41</v>
      </c>
      <c r="BS8" s="57">
        <f ca="1">IF(ISERROR(BR8),"",IF(ROUND(BW8,$B$3)=ROUND(BW7,$B$3),BS7,$A8))</f>
        <v>1</v>
      </c>
      <c r="BT8" s="57">
        <f ca="1">IF(ISERROR(BR8),0,INDEX($G$7:$G$69,BR8))</f>
        <v>2</v>
      </c>
      <c r="BU8" s="59" t="str">
        <f ca="1">IF(BT8=0,"",IF(OR(BS8=BS7,BS8=BS9),CONCATENATE("=",BS8),BS8))</f>
        <v>=1</v>
      </c>
      <c r="BV8" t="str">
        <f t="shared" ref="BV8:BV66" ca="1" si="14">IF(BT8=0,"",INDEX($D$7:$D$69,BR8))</f>
        <v>Peru</v>
      </c>
      <c r="BW8" s="60">
        <f t="shared" ref="BW8:BW66" ca="1" si="15">IF(BT8=0,"",INDEX(BP$7:BP$69,BR8))</f>
        <v>75</v>
      </c>
      <c r="BY8">
        <f t="shared" ca="1" si="5"/>
        <v>43.9</v>
      </c>
      <c r="BZ8" s="56">
        <f ca="1">IF($G8=0,"",RANK(BY8,BY$7:BY$69)+COUNTIF(BY$7:BY8,BY8)-1)</f>
        <v>25</v>
      </c>
      <c r="CA8" s="57">
        <f ca="1">MATCH($A8,BZ$7:BZ$69,0)</f>
        <v>5</v>
      </c>
      <c r="CB8" s="57">
        <f ca="1">IF(ISERROR(CA8),"",IF(ROUND(CF8,$B$3)=ROUND(CF7,$B$3),CB7,$A8))</f>
        <v>2</v>
      </c>
      <c r="CC8" s="57">
        <f ca="1">IF(ISERROR(CA8),0,INDEX($G$7:$G$69,CA8))</f>
        <v>2</v>
      </c>
      <c r="CD8" s="59">
        <f ca="1">IF(CC8=0,"",IF(OR(CB8=CB7,CB8=CB9),CONCATENATE("=",CB8),CB8))</f>
        <v>2</v>
      </c>
      <c r="CE8" t="str">
        <f t="shared" ref="CE8:CE65" ca="1" si="16">IF(CC8=0,"",INDEX($D$7:$D$69,CA8))</f>
        <v>Bolivia</v>
      </c>
      <c r="CF8" s="60">
        <f t="shared" ref="CF8:CF65" ca="1" si="17">IF(CC8=0,"",INDEX(BY$7:BY$69,CA8))</f>
        <v>71.7</v>
      </c>
    </row>
    <row r="9" spans="1:84">
      <c r="A9">
        <v>3</v>
      </c>
      <c r="B9">
        <f ca="1">tblCountries!A5</f>
        <v>3</v>
      </c>
      <c r="C9" t="str">
        <f ca="1">tblCountries!C5</f>
        <v>AZ</v>
      </c>
      <c r="D9" t="str">
        <f ca="1">tblCountries!B5</f>
        <v>Azerbaijan</v>
      </c>
      <c r="E9">
        <f ca="1">tblCountries!H5</f>
        <v>2</v>
      </c>
      <c r="G9">
        <f ca="1">tblCountries!I5</f>
        <v>2</v>
      </c>
      <c r="H9">
        <f t="shared" ca="1" si="6"/>
        <v>29</v>
      </c>
      <c r="K9" s="56">
        <f ca="1">IF($G9=0,"",RANK(H9,H$7:H$69)+COUNTIF(H$7:H9,H9)-1)</f>
        <v>49</v>
      </c>
      <c r="L9" s="57">
        <f t="shared" ref="L9:L66" ca="1" si="18">MATCH($A9,K$7:K$69,0)</f>
        <v>42</v>
      </c>
      <c r="M9" s="57">
        <f t="shared" ref="M9:M66" ca="1" si="19">IF(ISERROR(L9),"",IF(ROUND(Q9,$B$3)=ROUND(Q8,$B$3),M8,$A9))</f>
        <v>3</v>
      </c>
      <c r="N9" s="57">
        <f t="shared" ref="N9:N66" ca="1" si="20">IF(ISERROR(L9),0,INDEX($G$7:$G$69,$L9))</f>
        <v>2</v>
      </c>
      <c r="O9" s="59">
        <f t="shared" ref="O9:O65" ca="1" si="21">IF(N9=0,"",IF(OR(M9=M8,M9=M10),CONCATENATE("=",M9),M9))</f>
        <v>3</v>
      </c>
      <c r="P9" t="str">
        <f t="shared" ref="P9:P66" ca="1" si="22">IF(N9=0,"",INDEX($D$7:$D$69,$L9))</f>
        <v>Philippines</v>
      </c>
      <c r="Q9" s="60">
        <f t="shared" ref="Q9:Q66" ca="1" si="23">IF(N9=0,"",INDEX($H$7:$H$69,$L9))</f>
        <v>68.400000000000006</v>
      </c>
      <c r="AF9">
        <f t="shared" ca="1" si="0"/>
        <v>29</v>
      </c>
      <c r="AG9" s="56">
        <f ca="1">IF($E9&lt;0,"",RANK(AF9,AF$7:AF$61)+COUNTIF(AF$7:AF9,AF9)-1)</f>
        <v>49</v>
      </c>
      <c r="AH9" s="57">
        <f t="shared" ca="1" si="7"/>
        <v>42</v>
      </c>
      <c r="AI9" s="57">
        <f t="shared" ref="AI9:AI61" ca="1" si="24">IF(ISERROR(AH9),"",IF(ROUND(AM9,$B$3)=ROUND(AM8,$B$3),AI8,$A9))</f>
        <v>3</v>
      </c>
      <c r="AJ9" s="57">
        <f ca="1">IF(ISERROR(AH9),0,INDEX($E$7:$E$61,AH9))</f>
        <v>2</v>
      </c>
      <c r="AK9" s="59">
        <f ca="1">IF($N9=0,"",IF(OR(AI9=AI8,AI9=AI10),CONCATENATE("=",AI9),AI9))</f>
        <v>3</v>
      </c>
      <c r="AL9" t="str">
        <f ca="1">IF(AJ9&lt;0,"",INDEX($D$7:$D$61,AH9))</f>
        <v>Philippines</v>
      </c>
      <c r="AM9" s="60">
        <f ca="1">IF(AJ9&lt;0,"",INDEX(AF$7:AF$61,AH9))</f>
        <v>68.400000000000006</v>
      </c>
      <c r="AO9">
        <f t="shared" ca="1" si="1"/>
        <v>29</v>
      </c>
      <c r="AP9" s="56">
        <f ca="1">IF($G9=0,"",RANK(AO9,AO$7:AO$69)+COUNTIF(AO$7:AO9,AO9)-1)</f>
        <v>49</v>
      </c>
      <c r="AQ9" s="57">
        <f t="shared" ref="AQ9:AQ66" ca="1" si="25">MATCH($A9,AP$7:AP$69,0)</f>
        <v>42</v>
      </c>
      <c r="AR9" s="57">
        <f t="shared" ref="AR9:AR66" ca="1" si="26">IF(ISERROR(AQ9),"",IF(ROUND(AV9,$B$3)=ROUND(AV8,$B$3),AR8,$A9))</f>
        <v>3</v>
      </c>
      <c r="AS9" s="57">
        <f t="shared" ref="AS9:AS66" ca="1" si="27">IF(ISERROR(AQ9),0,INDEX($G$7:$G$69,AQ9))</f>
        <v>2</v>
      </c>
      <c r="AT9" s="59">
        <f t="shared" ref="AT9:AT65" ca="1" si="28">IF(AS9=0,"",IF(OR(AR9=AR8,AR9=AR10),CONCATENATE("=",AR9),AR9))</f>
        <v>3</v>
      </c>
      <c r="AU9" t="str">
        <f t="shared" ca="1" si="8"/>
        <v>Philippines</v>
      </c>
      <c r="AV9" s="60">
        <f t="shared" ca="1" si="9"/>
        <v>68.400000000000006</v>
      </c>
      <c r="AX9">
        <f t="shared" ca="1" si="2"/>
        <v>37.5</v>
      </c>
      <c r="AY9" s="56">
        <f ca="1">IF($G9=0,"",RANK(AX9,AX$7:AX$69)+COUNTIF(AX$7:AX9,AX9)-1)</f>
        <v>43</v>
      </c>
      <c r="AZ9" s="57">
        <f t="shared" ref="AZ9:AZ66" ca="1" si="29">MATCH($A9,AY$7:AY$69,0)</f>
        <v>5</v>
      </c>
      <c r="BA9" s="57">
        <f t="shared" ref="BA9:BA66" ca="1" si="30">IF(ISERROR(AZ9),"",IF(ROUND(BE9,$B$3)=ROUND(BE8,$B$3),BA8,$A9))</f>
        <v>3</v>
      </c>
      <c r="BB9" s="57">
        <f t="shared" ref="BB9:BB66" ca="1" si="31">IF(ISERROR(AZ9),0,INDEX($G$7:$G$69,AZ9))</f>
        <v>2</v>
      </c>
      <c r="BC9" s="59" t="str">
        <f t="shared" ref="BC9:BC65" ca="1" si="32">IF(BB9=0,"",IF(OR(BA9=BA8,BA9=BA10),CONCATENATE("=",BA9),BA9))</f>
        <v>=3</v>
      </c>
      <c r="BD9" t="str">
        <f t="shared" ca="1" si="10"/>
        <v>Bolivia</v>
      </c>
      <c r="BE9" s="60">
        <f t="shared" ca="1" si="11"/>
        <v>81.3</v>
      </c>
      <c r="BG9">
        <f t="shared" ca="1" si="3"/>
        <v>36.4</v>
      </c>
      <c r="BH9" s="56">
        <f ca="1">IF($G9=0,"",RANK(BG9,BG$7:BG$69)+COUNTIF(BG$7:BG9,BG9)-1)</f>
        <v>38</v>
      </c>
      <c r="BI9" s="57">
        <f t="shared" ref="BI9:BI66" ca="1" si="33">MATCH($A9,BH$7:BH$69,0)</f>
        <v>6</v>
      </c>
      <c r="BJ9" s="57">
        <f t="shared" ref="BJ9:BJ66" ca="1" si="34">IF(ISERROR(BI9),"",IF(ROUND(BN9,$B$3)=ROUND(BN8,$B$3),BJ8,$A9))</f>
        <v>3</v>
      </c>
      <c r="BK9" s="57">
        <f t="shared" ref="BK9:BK66" ca="1" si="35">IF(ISERROR(BI9),0,INDEX($G$7:$G$69,BI9))</f>
        <v>2</v>
      </c>
      <c r="BL9" s="59">
        <f t="shared" ref="BL9:BL65" ca="1" si="36">IF(BK9=0,"",IF(OR(BJ9=BJ8,BJ9=BJ10),CONCATENATE("=",BJ9),BJ9))</f>
        <v>3</v>
      </c>
      <c r="BM9" t="str">
        <f t="shared" ca="1" si="12"/>
        <v>Bosnia</v>
      </c>
      <c r="BN9" s="60">
        <f t="shared" ca="1" si="13"/>
        <v>65.599999999999994</v>
      </c>
      <c r="BP9">
        <f t="shared" ca="1" si="4"/>
        <v>16.7</v>
      </c>
      <c r="BQ9" s="56">
        <f ca="1">IF($G9=0,"",RANK(BP9,BP$7:BP$69)+COUNTIF(BP$7:BP9,BP9)-1)</f>
        <v>40</v>
      </c>
      <c r="BR9" s="57">
        <f t="shared" ref="BR9:BR66" ca="1" si="37">MATCH($A9,BQ$7:BQ$69,0)</f>
        <v>16</v>
      </c>
      <c r="BS9" s="57">
        <f t="shared" ref="BS9:BS66" ca="1" si="38">IF(ISERROR(BR9),"",IF(ROUND(BW9,$B$3)=ROUND(BW8,$B$3),BS8,$A9))</f>
        <v>3</v>
      </c>
      <c r="BT9" s="57">
        <f t="shared" ref="BT9:BT66" ca="1" si="39">IF(ISERROR(BR9),0,INDEX($G$7:$G$69,BR9))</f>
        <v>2</v>
      </c>
      <c r="BU9" s="59" t="str">
        <f t="shared" ref="BU9:BU65" ca="1" si="40">IF(BT9=0,"",IF(OR(BS9=BS8,BS9=BS10),CONCATENATE("=",BS9),BS9))</f>
        <v>=3</v>
      </c>
      <c r="BV9" t="str">
        <f t="shared" ca="1" si="14"/>
        <v>Ecuador</v>
      </c>
      <c r="BW9" s="60">
        <f t="shared" ca="1" si="15"/>
        <v>66.7</v>
      </c>
      <c r="BY9">
        <f t="shared" ca="1" si="5"/>
        <v>29</v>
      </c>
      <c r="BZ9" s="56">
        <f ca="1">IF($G9=0,"",RANK(BY9,BY$7:BY$69)+COUNTIF(BY$7:BY9,BY9)-1)</f>
        <v>49</v>
      </c>
      <c r="CA9" s="57">
        <f t="shared" ref="CA9:CA69" ca="1" si="41">MATCH($A9,BZ$7:BZ$69,0)</f>
        <v>42</v>
      </c>
      <c r="CB9" s="57">
        <f t="shared" ref="CB9:CB65" ca="1" si="42">IF(ISERROR(CA9),"",IF(ROUND(CF9,$B$3)=ROUND(CF8,$B$3),CB8,$A9))</f>
        <v>3</v>
      </c>
      <c r="CC9" s="57">
        <f t="shared" ref="CC9:CC65" ca="1" si="43">IF(ISERROR(CA9),0,INDEX($G$7:$G$69,CA9))</f>
        <v>2</v>
      </c>
      <c r="CD9" s="59">
        <f t="shared" ref="CD9:CD65" ca="1" si="44">IF(CC9=0,"",IF(OR(CB9=CB8,CB9=CB10),CONCATENATE("=",CB9),CB9))</f>
        <v>3</v>
      </c>
      <c r="CE9" t="str">
        <f t="shared" ca="1" si="16"/>
        <v>Philippines</v>
      </c>
      <c r="CF9" s="60">
        <f t="shared" ca="1" si="17"/>
        <v>68.400000000000006</v>
      </c>
    </row>
    <row r="10" spans="1:84">
      <c r="A10">
        <v>4</v>
      </c>
      <c r="B10">
        <f ca="1">tblCountries!A6</f>
        <v>4</v>
      </c>
      <c r="C10" t="str">
        <f ca="1">tblCountries!C6</f>
        <v>BD</v>
      </c>
      <c r="D10" t="str">
        <f ca="1">tblCountries!B6</f>
        <v>Bangladesh</v>
      </c>
      <c r="E10">
        <f ca="1">tblCountries!H6</f>
        <v>2</v>
      </c>
      <c r="G10">
        <f ca="1">tblCountries!I6</f>
        <v>2</v>
      </c>
      <c r="H10">
        <f t="shared" ca="1" si="6"/>
        <v>42.7</v>
      </c>
      <c r="K10" s="56">
        <f ca="1">IF($G10=0,"",RANK(H10,H$7:H$69)+COUNTIF(H$7:H10,H10)-1)</f>
        <v>27</v>
      </c>
      <c r="L10" s="57">
        <f t="shared" ca="1" si="18"/>
        <v>24</v>
      </c>
      <c r="M10" s="57">
        <f t="shared" ca="1" si="19"/>
        <v>4</v>
      </c>
      <c r="N10" s="57">
        <f t="shared" ca="1" si="20"/>
        <v>2</v>
      </c>
      <c r="O10" s="59">
        <f t="shared" ca="1" si="21"/>
        <v>4</v>
      </c>
      <c r="P10" t="str">
        <f t="shared" ca="1" si="22"/>
        <v>India</v>
      </c>
      <c r="Q10" s="60">
        <f t="shared" ca="1" si="23"/>
        <v>62.1</v>
      </c>
      <c r="AF10">
        <f t="shared" ca="1" si="0"/>
        <v>42.7</v>
      </c>
      <c r="AG10" s="56">
        <f ca="1">IF($E10&lt;0,"",RANK(AF10,AF$7:AF$61)+COUNTIF(AF$7:AF10,AF10)-1)</f>
        <v>27</v>
      </c>
      <c r="AH10" s="57">
        <f t="shared" ca="1" si="7"/>
        <v>24</v>
      </c>
      <c r="AI10" s="57">
        <f t="shared" ca="1" si="24"/>
        <v>4</v>
      </c>
      <c r="AJ10" s="57">
        <f ca="1">IF(ISERROR(AH10),0,INDEX($E$7:$E$61,AH10))</f>
        <v>2</v>
      </c>
      <c r="AK10" s="59">
        <f ca="1">IF($N10=0,"",IF(OR(AI10=AI9,AI10=AI11),CONCATENATE("=",AI10),AI10))</f>
        <v>4</v>
      </c>
      <c r="AL10" t="str">
        <f ca="1">IF(AJ10&lt;0,"",INDEX($D$7:$D$61,AH10))</f>
        <v>India</v>
      </c>
      <c r="AM10" s="60">
        <f ca="1">IF(AJ10&lt;0,"",INDEX(AF$7:AF$61,AH10))</f>
        <v>62.1</v>
      </c>
      <c r="AO10">
        <f t="shared" ca="1" si="1"/>
        <v>42.7</v>
      </c>
      <c r="AP10" s="56">
        <f ca="1">IF($G10=0,"",RANK(AO10,AO$7:AO$69)+COUNTIF(AO$7:AO10,AO10)-1)</f>
        <v>27</v>
      </c>
      <c r="AQ10" s="57">
        <f t="shared" ca="1" si="25"/>
        <v>24</v>
      </c>
      <c r="AR10" s="57">
        <f t="shared" ca="1" si="26"/>
        <v>4</v>
      </c>
      <c r="AS10" s="57">
        <f t="shared" ca="1" si="27"/>
        <v>2</v>
      </c>
      <c r="AT10" s="59">
        <f t="shared" ca="1" si="28"/>
        <v>4</v>
      </c>
      <c r="AU10" t="str">
        <f t="shared" ca="1" si="8"/>
        <v>India</v>
      </c>
      <c r="AV10" s="60">
        <f t="shared" ca="1" si="9"/>
        <v>62.1</v>
      </c>
      <c r="AX10">
        <f t="shared" ca="1" si="2"/>
        <v>43.8</v>
      </c>
      <c r="AY10" s="56">
        <f ca="1">IF($G10=0,"",RANK(AX10,AX$7:AX$69)+COUNTIF(AX$7:AX10,AX10)-1)</f>
        <v>35</v>
      </c>
      <c r="AZ10" s="57">
        <f t="shared" ca="1" si="29"/>
        <v>27</v>
      </c>
      <c r="BA10" s="57">
        <f t="shared" ca="1" si="30"/>
        <v>3</v>
      </c>
      <c r="BB10" s="57">
        <f t="shared" ca="1" si="31"/>
        <v>2</v>
      </c>
      <c r="BC10" s="59" t="str">
        <f t="shared" ca="1" si="32"/>
        <v>=3</v>
      </c>
      <c r="BD10" t="str">
        <f t="shared" ca="1" si="10"/>
        <v>Kenya</v>
      </c>
      <c r="BE10" s="60">
        <f t="shared" ca="1" si="11"/>
        <v>81.3</v>
      </c>
      <c r="BG10">
        <f t="shared" ca="1" si="3"/>
        <v>42.5</v>
      </c>
      <c r="BH10" s="56">
        <f ca="1">IF($G10=0,"",RANK(BG10,BG$7:BG$69)+COUNTIF(BG$7:BG10,BG10)-1)</f>
        <v>27</v>
      </c>
      <c r="BI10" s="57">
        <f t="shared" ca="1" si="33"/>
        <v>33</v>
      </c>
      <c r="BJ10" s="57">
        <f t="shared" ca="1" si="34"/>
        <v>4</v>
      </c>
      <c r="BK10" s="57">
        <f t="shared" ca="1" si="35"/>
        <v>2</v>
      </c>
      <c r="BL10" s="59">
        <f t="shared" ca="1" si="36"/>
        <v>4</v>
      </c>
      <c r="BM10" t="str">
        <f t="shared" ca="1" si="12"/>
        <v>Morocco</v>
      </c>
      <c r="BN10" s="60">
        <f t="shared" ca="1" si="13"/>
        <v>59.7</v>
      </c>
      <c r="BP10">
        <f t="shared" ca="1" si="4"/>
        <v>41.7</v>
      </c>
      <c r="BQ10" s="56">
        <f ca="1">IF($G10=0,"",RANK(BP10,BP$7:BP$69)+COUNTIF(BP$7:BP10,BP10)-1)</f>
        <v>14</v>
      </c>
      <c r="BR10" s="57">
        <f t="shared" ca="1" si="37"/>
        <v>24</v>
      </c>
      <c r="BS10" s="57">
        <f t="shared" ca="1" si="38"/>
        <v>3</v>
      </c>
      <c r="BT10" s="57">
        <f t="shared" ca="1" si="39"/>
        <v>2</v>
      </c>
      <c r="BU10" s="59" t="str">
        <f t="shared" ca="1" si="40"/>
        <v>=3</v>
      </c>
      <c r="BV10" t="str">
        <f t="shared" ca="1" si="14"/>
        <v>India</v>
      </c>
      <c r="BW10" s="60">
        <f t="shared" ca="1" si="15"/>
        <v>66.7</v>
      </c>
      <c r="BY10">
        <f t="shared" ca="1" si="5"/>
        <v>42.7</v>
      </c>
      <c r="BZ10" s="56">
        <f ca="1">IF($G10=0,"",RANK(BY10,BY$7:BY$69)+COUNTIF(BY$7:BY10,BY10)-1)</f>
        <v>27</v>
      </c>
      <c r="CA10" s="57">
        <f t="shared" ca="1" si="41"/>
        <v>24</v>
      </c>
      <c r="CB10" s="57">
        <f t="shared" ca="1" si="42"/>
        <v>4</v>
      </c>
      <c r="CC10" s="57">
        <f t="shared" ca="1" si="43"/>
        <v>2</v>
      </c>
      <c r="CD10" s="59">
        <f t="shared" ca="1" si="44"/>
        <v>4</v>
      </c>
      <c r="CE10" t="str">
        <f t="shared" ca="1" si="16"/>
        <v>India</v>
      </c>
      <c r="CF10" s="60">
        <f t="shared" ca="1" si="17"/>
        <v>62.1</v>
      </c>
    </row>
    <row r="11" spans="1:84">
      <c r="A11">
        <v>5</v>
      </c>
      <c r="B11">
        <f ca="1">tblCountries!A7</f>
        <v>5</v>
      </c>
      <c r="C11" t="str">
        <f ca="1">tblCountries!C7</f>
        <v>BO</v>
      </c>
      <c r="D11" t="str">
        <f ca="1">tblCountries!B7</f>
        <v>Bolivia</v>
      </c>
      <c r="E11">
        <f ca="1">tblCountries!H7</f>
        <v>2</v>
      </c>
      <c r="G11">
        <f ca="1">tblCountries!I7</f>
        <v>2</v>
      </c>
      <c r="H11">
        <f t="shared" ca="1" si="6"/>
        <v>71.7</v>
      </c>
      <c r="K11" s="56">
        <f ca="1">IF($G11=0,"",RANK(H11,H$7:H$69)+COUNTIF(H$7:H11,H11)-1)</f>
        <v>2</v>
      </c>
      <c r="L11" s="57">
        <f t="shared" ca="1" si="18"/>
        <v>20</v>
      </c>
      <c r="M11" s="57">
        <f t="shared" ca="1" si="19"/>
        <v>5</v>
      </c>
      <c r="N11" s="57">
        <f t="shared" ca="1" si="20"/>
        <v>2</v>
      </c>
      <c r="O11" s="59">
        <f t="shared" ca="1" si="21"/>
        <v>5</v>
      </c>
      <c r="P11" t="str">
        <f t="shared" ca="1" si="22"/>
        <v>Ghana</v>
      </c>
      <c r="Q11" s="60">
        <f t="shared" ca="1" si="23"/>
        <v>60.9</v>
      </c>
      <c r="AF11">
        <f t="shared" ca="1" si="0"/>
        <v>71.7</v>
      </c>
      <c r="AG11" s="56">
        <f ca="1">IF($E11&lt;0,"",RANK(AF11,AF$7:AF$61)+COUNTIF(AF$7:AF11,AF11)-1)</f>
        <v>2</v>
      </c>
      <c r="AH11" s="57">
        <f t="shared" ca="1" si="7"/>
        <v>20</v>
      </c>
      <c r="AI11" s="57">
        <f t="shared" ca="1" si="24"/>
        <v>5</v>
      </c>
      <c r="AJ11" s="57">
        <f t="shared" ref="AJ11:AJ61" ca="1" si="45">IF(ISERROR(AH11),0,INDEX($E$7:$E$61,AH11))</f>
        <v>2</v>
      </c>
      <c r="AK11" s="59">
        <f t="shared" ref="AK11:AK61" ca="1" si="46">IF($N11=0,"",IF(OR(AI11=AI10,AI11=AI12),CONCATENATE("=",AI11),AI11))</f>
        <v>5</v>
      </c>
      <c r="AL11" t="str">
        <f t="shared" ref="AL11:AL61" ca="1" si="47">IF(AJ11&lt;0,"",INDEX($D$7:$D$61,AH11))</f>
        <v>Ghana</v>
      </c>
      <c r="AM11" s="60">
        <f t="shared" ref="AM11:AM61" ca="1" si="48">IF(AJ11&lt;0,"",INDEX(AF$7:AF$61,AH11))</f>
        <v>60.9</v>
      </c>
      <c r="AO11">
        <f t="shared" ca="1" si="1"/>
        <v>71.7</v>
      </c>
      <c r="AP11" s="56">
        <f ca="1">IF($G11=0,"",RANK(AO11,AO$7:AO$69)+COUNTIF(AO$7:AO11,AO11)-1)</f>
        <v>2</v>
      </c>
      <c r="AQ11" s="57">
        <f t="shared" ca="1" si="25"/>
        <v>20</v>
      </c>
      <c r="AR11" s="57">
        <f t="shared" ca="1" si="26"/>
        <v>5</v>
      </c>
      <c r="AS11" s="57">
        <f t="shared" ca="1" si="27"/>
        <v>2</v>
      </c>
      <c r="AT11" s="59">
        <f t="shared" ca="1" si="28"/>
        <v>5</v>
      </c>
      <c r="AU11" t="str">
        <f t="shared" ca="1" si="8"/>
        <v>Ghana</v>
      </c>
      <c r="AV11" s="60">
        <f t="shared" ca="1" si="9"/>
        <v>60.9</v>
      </c>
      <c r="AX11">
        <f t="shared" ca="1" si="2"/>
        <v>81.3</v>
      </c>
      <c r="AY11" s="56">
        <f ca="1">IF($G11=0,"",RANK(AX11,AX$7:AX$69)+COUNTIF(AX$7:AX11,AX11)-1)</f>
        <v>3</v>
      </c>
      <c r="AZ11" s="57">
        <f t="shared" ca="1" si="29"/>
        <v>28</v>
      </c>
      <c r="BA11" s="57">
        <f t="shared" ca="1" si="30"/>
        <v>3</v>
      </c>
      <c r="BB11" s="57">
        <f t="shared" ca="1" si="31"/>
        <v>2</v>
      </c>
      <c r="BC11" s="59" t="str">
        <f t="shared" ca="1" si="32"/>
        <v>=3</v>
      </c>
      <c r="BD11" t="str">
        <f t="shared" ca="1" si="10"/>
        <v>Kyrgyzstan</v>
      </c>
      <c r="BE11" s="60">
        <f t="shared" ca="1" si="11"/>
        <v>81.3</v>
      </c>
      <c r="BG11">
        <f t="shared" ca="1" si="3"/>
        <v>46.1</v>
      </c>
      <c r="BH11" s="56">
        <f ca="1">IF($G11=0,"",RANK(BG11,BG$7:BG$69)+COUNTIF(BG$7:BG11,BG11)-1)</f>
        <v>21</v>
      </c>
      <c r="BI11" s="57">
        <f t="shared" ca="1" si="33"/>
        <v>39</v>
      </c>
      <c r="BJ11" s="57">
        <f t="shared" ca="1" si="34"/>
        <v>5</v>
      </c>
      <c r="BK11" s="57">
        <f t="shared" ca="1" si="35"/>
        <v>2</v>
      </c>
      <c r="BL11" s="59">
        <f t="shared" ca="1" si="36"/>
        <v>5</v>
      </c>
      <c r="BM11" t="str">
        <f t="shared" ca="1" si="12"/>
        <v>Panama</v>
      </c>
      <c r="BN11" s="60">
        <f t="shared" ca="1" si="13"/>
        <v>58.3</v>
      </c>
      <c r="BP11">
        <f t="shared" ca="1" si="4"/>
        <v>75</v>
      </c>
      <c r="BQ11" s="56">
        <f ca="1">IF($G11=0,"",RANK(BP11,BP$7:BP$69)+COUNTIF(BP$7:BP11,BP11)-1)</f>
        <v>1</v>
      </c>
      <c r="BR11" s="57">
        <f t="shared" ca="1" si="37"/>
        <v>36</v>
      </c>
      <c r="BS11" s="57">
        <f t="shared" ca="1" si="38"/>
        <v>3</v>
      </c>
      <c r="BT11" s="57">
        <f t="shared" ca="1" si="39"/>
        <v>2</v>
      </c>
      <c r="BU11" s="59" t="str">
        <f t="shared" ca="1" si="40"/>
        <v>=3</v>
      </c>
      <c r="BV11" t="str">
        <f t="shared" ca="1" si="14"/>
        <v>Nicaragua</v>
      </c>
      <c r="BW11" s="60">
        <f t="shared" ca="1" si="15"/>
        <v>66.7</v>
      </c>
      <c r="BY11">
        <f t="shared" ca="1" si="5"/>
        <v>71.7</v>
      </c>
      <c r="BZ11" s="56">
        <f ca="1">IF($G11=0,"",RANK(BY11,BY$7:BY$69)+COUNTIF(BY$7:BY11,BY11)-1)</f>
        <v>2</v>
      </c>
      <c r="CA11" s="57">
        <f t="shared" ca="1" si="41"/>
        <v>20</v>
      </c>
      <c r="CB11" s="57">
        <f t="shared" ca="1" si="42"/>
        <v>5</v>
      </c>
      <c r="CC11" s="57">
        <f t="shared" ca="1" si="43"/>
        <v>2</v>
      </c>
      <c r="CD11" s="59">
        <f t="shared" ca="1" si="44"/>
        <v>5</v>
      </c>
      <c r="CE11" t="str">
        <f t="shared" ca="1" si="16"/>
        <v>Ghana</v>
      </c>
      <c r="CF11" s="60">
        <f t="shared" ca="1" si="17"/>
        <v>60.9</v>
      </c>
    </row>
    <row r="12" spans="1:84">
      <c r="A12">
        <v>6</v>
      </c>
      <c r="B12">
        <f ca="1">tblCountries!A8</f>
        <v>6</v>
      </c>
      <c r="C12" t="str">
        <f ca="1">tblCountries!C8</f>
        <v>BA</v>
      </c>
      <c r="D12" t="str">
        <f ca="1">tblCountries!B8</f>
        <v>Bosnia</v>
      </c>
      <c r="E12">
        <f ca="1">tblCountries!H8</f>
        <v>2</v>
      </c>
      <c r="G12">
        <f ca="1">tblCountries!I8</f>
        <v>2</v>
      </c>
      <c r="H12">
        <f t="shared" ca="1" si="6"/>
        <v>43.1</v>
      </c>
      <c r="K12" s="56">
        <f ca="1">IF($G12=0,"",RANK(H12,H$7:H$69)+COUNTIF(H$7:H12,H12)-1)</f>
        <v>26</v>
      </c>
      <c r="L12" s="57">
        <f t="shared" ca="1" si="18"/>
        <v>16</v>
      </c>
      <c r="M12" s="57">
        <f t="shared" ca="1" si="19"/>
        <v>6</v>
      </c>
      <c r="N12" s="57">
        <f t="shared" ca="1" si="20"/>
        <v>2</v>
      </c>
      <c r="O12" s="59">
        <f t="shared" ca="1" si="21"/>
        <v>6</v>
      </c>
      <c r="P12" t="str">
        <f t="shared" ca="1" si="22"/>
        <v>Ecuador</v>
      </c>
      <c r="Q12" s="60">
        <f t="shared" ca="1" si="23"/>
        <v>59.7</v>
      </c>
      <c r="AF12">
        <f t="shared" ca="1" si="0"/>
        <v>43.1</v>
      </c>
      <c r="AG12" s="56">
        <f ca="1">IF($E12&lt;0,"",RANK(AF12,AF$7:AF$61)+COUNTIF(AF$7:AF12,AF12)-1)</f>
        <v>26</v>
      </c>
      <c r="AH12" s="57">
        <f t="shared" ca="1" si="7"/>
        <v>16</v>
      </c>
      <c r="AI12" s="57">
        <f t="shared" ca="1" si="24"/>
        <v>6</v>
      </c>
      <c r="AJ12" s="57">
        <f t="shared" ca="1" si="45"/>
        <v>2</v>
      </c>
      <c r="AK12" s="59">
        <f t="shared" ca="1" si="46"/>
        <v>6</v>
      </c>
      <c r="AL12" t="str">
        <f t="shared" ca="1" si="47"/>
        <v>Ecuador</v>
      </c>
      <c r="AM12" s="60">
        <f t="shared" ca="1" si="48"/>
        <v>59.7</v>
      </c>
      <c r="AO12">
        <f t="shared" ca="1" si="1"/>
        <v>43.1</v>
      </c>
      <c r="AP12" s="56">
        <f ca="1">IF($G12=0,"",RANK(AO12,AO$7:AO$69)+COUNTIF(AO$7:AO12,AO12)-1)</f>
        <v>26</v>
      </c>
      <c r="AQ12" s="57">
        <f t="shared" ca="1" si="25"/>
        <v>16</v>
      </c>
      <c r="AR12" s="57">
        <f t="shared" ca="1" si="26"/>
        <v>6</v>
      </c>
      <c r="AS12" s="57">
        <f t="shared" ca="1" si="27"/>
        <v>2</v>
      </c>
      <c r="AT12" s="59">
        <f t="shared" ca="1" si="28"/>
        <v>6</v>
      </c>
      <c r="AU12" t="str">
        <f t="shared" ca="1" si="8"/>
        <v>Ecuador</v>
      </c>
      <c r="AV12" s="60">
        <f t="shared" ca="1" si="9"/>
        <v>59.7</v>
      </c>
      <c r="AX12">
        <f t="shared" ca="1" si="2"/>
        <v>50</v>
      </c>
      <c r="AY12" s="56">
        <f ca="1">IF($G12=0,"",RANK(AX12,AX$7:AX$69)+COUNTIF(AX$7:AX12,AX12)-1)</f>
        <v>27</v>
      </c>
      <c r="AZ12" s="57">
        <f t="shared" ca="1" si="29"/>
        <v>41</v>
      </c>
      <c r="BA12" s="57">
        <f t="shared" ca="1" si="30"/>
        <v>3</v>
      </c>
      <c r="BB12" s="57">
        <f t="shared" ca="1" si="31"/>
        <v>2</v>
      </c>
      <c r="BC12" s="59" t="str">
        <f t="shared" ca="1" si="32"/>
        <v>=3</v>
      </c>
      <c r="BD12" t="str">
        <f t="shared" ca="1" si="10"/>
        <v>Peru</v>
      </c>
      <c r="BE12" s="60">
        <f t="shared" ca="1" si="11"/>
        <v>81.3</v>
      </c>
      <c r="BG12">
        <f t="shared" ca="1" si="3"/>
        <v>65.599999999999994</v>
      </c>
      <c r="BH12" s="56">
        <f ca="1">IF($G12=0,"",RANK(BG12,BG$7:BG$69)+COUNTIF(BG$7:BG12,BG12)-1)</f>
        <v>3</v>
      </c>
      <c r="BI12" s="57">
        <f t="shared" ca="1" si="33"/>
        <v>13</v>
      </c>
      <c r="BJ12" s="57">
        <f t="shared" ca="1" si="34"/>
        <v>6</v>
      </c>
      <c r="BK12" s="57">
        <f t="shared" ca="1" si="35"/>
        <v>2</v>
      </c>
      <c r="BL12" s="59">
        <f t="shared" ca="1" si="36"/>
        <v>6</v>
      </c>
      <c r="BM12" t="str">
        <f t="shared" ca="1" si="12"/>
        <v>Costa Rica</v>
      </c>
      <c r="BN12" s="60">
        <f t="shared" ca="1" si="13"/>
        <v>58.1</v>
      </c>
      <c r="BP12">
        <f t="shared" ca="1" si="4"/>
        <v>25</v>
      </c>
      <c r="BQ12" s="56">
        <f ca="1">IF($G12=0,"",RANK(BP12,BP$7:BP$69)+COUNTIF(BP$7:BP12,BP12)-1)</f>
        <v>30</v>
      </c>
      <c r="BR12" s="57">
        <f t="shared" ca="1" si="37"/>
        <v>12</v>
      </c>
      <c r="BS12" s="57">
        <f t="shared" ca="1" si="38"/>
        <v>6</v>
      </c>
      <c r="BT12" s="57">
        <f t="shared" ca="1" si="39"/>
        <v>2</v>
      </c>
      <c r="BU12" s="59" t="str">
        <f t="shared" ca="1" si="40"/>
        <v>=6</v>
      </c>
      <c r="BV12" t="str">
        <f t="shared" ca="1" si="14"/>
        <v>Colombia</v>
      </c>
      <c r="BW12" s="60">
        <f t="shared" ca="1" si="15"/>
        <v>58.3</v>
      </c>
      <c r="BY12">
        <f t="shared" ca="1" si="5"/>
        <v>43.1</v>
      </c>
      <c r="BZ12" s="56">
        <f ca="1">IF($G12=0,"",RANK(BY12,BY$7:BY$69)+COUNTIF(BY$7:BY12,BY12)-1)</f>
        <v>26</v>
      </c>
      <c r="CA12" s="57">
        <f t="shared" ca="1" si="41"/>
        <v>16</v>
      </c>
      <c r="CB12" s="57">
        <f t="shared" ca="1" si="42"/>
        <v>6</v>
      </c>
      <c r="CC12" s="57">
        <f t="shared" ca="1" si="43"/>
        <v>2</v>
      </c>
      <c r="CD12" s="59">
        <f t="shared" ca="1" si="44"/>
        <v>6</v>
      </c>
      <c r="CE12" t="str">
        <f t="shared" ca="1" si="16"/>
        <v>Ecuador</v>
      </c>
      <c r="CF12" s="60">
        <f t="shared" ca="1" si="17"/>
        <v>59.7</v>
      </c>
    </row>
    <row r="13" spans="1:84">
      <c r="A13">
        <v>7</v>
      </c>
      <c r="B13">
        <f ca="1">tblCountries!A9</f>
        <v>7</v>
      </c>
      <c r="C13" t="str">
        <f ca="1">tblCountries!C9</f>
        <v>BR</v>
      </c>
      <c r="D13" t="str">
        <f ca="1">tblCountries!B9</f>
        <v>Brazil</v>
      </c>
      <c r="E13">
        <f ca="1">tblCountries!H9</f>
        <v>2</v>
      </c>
      <c r="G13">
        <f ca="1">tblCountries!I9</f>
        <v>2</v>
      </c>
      <c r="H13">
        <f t="shared" ca="1" si="6"/>
        <v>44</v>
      </c>
      <c r="K13" s="56">
        <f ca="1">IF($G13=0,"",RANK(H13,H$7:H$69)+COUNTIF(H$7:H13,H13)-1)</f>
        <v>24</v>
      </c>
      <c r="L13" s="57">
        <f t="shared" ca="1" si="18"/>
        <v>36</v>
      </c>
      <c r="M13" s="57">
        <f t="shared" ca="1" si="19"/>
        <v>7</v>
      </c>
      <c r="N13" s="57">
        <f t="shared" ca="1" si="20"/>
        <v>2</v>
      </c>
      <c r="O13" s="59">
        <f t="shared" ca="1" si="21"/>
        <v>7</v>
      </c>
      <c r="P13" t="str">
        <f t="shared" ca="1" si="22"/>
        <v>Nicaragua</v>
      </c>
      <c r="Q13" s="60">
        <f t="shared" ca="1" si="23"/>
        <v>58.7</v>
      </c>
      <c r="AF13">
        <f t="shared" ca="1" si="0"/>
        <v>44</v>
      </c>
      <c r="AG13" s="56">
        <f ca="1">IF($E13&lt;0,"",RANK(AF13,AF$7:AF$61)+COUNTIF(AF$7:AF13,AF13)-1)</f>
        <v>24</v>
      </c>
      <c r="AH13" s="57">
        <f t="shared" ca="1" si="7"/>
        <v>36</v>
      </c>
      <c r="AI13" s="57">
        <f t="shared" ca="1" si="24"/>
        <v>7</v>
      </c>
      <c r="AJ13" s="57">
        <f t="shared" ca="1" si="45"/>
        <v>2</v>
      </c>
      <c r="AK13" s="59">
        <f t="shared" ca="1" si="46"/>
        <v>7</v>
      </c>
      <c r="AL13" t="str">
        <f t="shared" ca="1" si="47"/>
        <v>Nicaragua</v>
      </c>
      <c r="AM13" s="60">
        <f t="shared" ca="1" si="48"/>
        <v>58.7</v>
      </c>
      <c r="AO13">
        <f t="shared" ca="1" si="1"/>
        <v>44</v>
      </c>
      <c r="AP13" s="56">
        <f ca="1">IF($G13=0,"",RANK(AO13,AO$7:AO$69)+COUNTIF(AO$7:AO13,AO13)-1)</f>
        <v>24</v>
      </c>
      <c r="AQ13" s="57">
        <f t="shared" ca="1" si="25"/>
        <v>36</v>
      </c>
      <c r="AR13" s="57">
        <f t="shared" ca="1" si="26"/>
        <v>7</v>
      </c>
      <c r="AS13" s="57">
        <f t="shared" ca="1" si="27"/>
        <v>2</v>
      </c>
      <c r="AT13" s="59">
        <f t="shared" ca="1" si="28"/>
        <v>7</v>
      </c>
      <c r="AU13" t="str">
        <f t="shared" ca="1" si="8"/>
        <v>Nicaragua</v>
      </c>
      <c r="AV13" s="60">
        <f t="shared" ca="1" si="9"/>
        <v>58.7</v>
      </c>
      <c r="AX13">
        <f t="shared" ca="1" si="2"/>
        <v>50</v>
      </c>
      <c r="AY13" s="56">
        <f ca="1">IF($G13=0,"",RANK(AX13,AX$7:AX$69)+COUNTIF(AX$7:AX13,AX13)-1)</f>
        <v>28</v>
      </c>
      <c r="AZ13" s="57">
        <f t="shared" ca="1" si="29"/>
        <v>20</v>
      </c>
      <c r="BA13" s="57">
        <f t="shared" ca="1" si="30"/>
        <v>7</v>
      </c>
      <c r="BB13" s="57">
        <f t="shared" ca="1" si="31"/>
        <v>2</v>
      </c>
      <c r="BC13" s="59" t="str">
        <f t="shared" ca="1" si="32"/>
        <v>=7</v>
      </c>
      <c r="BD13" t="str">
        <f t="shared" ca="1" si="10"/>
        <v>Ghana</v>
      </c>
      <c r="BE13" s="60">
        <f t="shared" ca="1" si="11"/>
        <v>75</v>
      </c>
      <c r="BG13">
        <f t="shared" ca="1" si="3"/>
        <v>53.6</v>
      </c>
      <c r="BH13" s="56">
        <f ca="1">IF($G13=0,"",RANK(BG13,BG$7:BG$69)+COUNTIF(BG$7:BG13,BG13)-1)</f>
        <v>12</v>
      </c>
      <c r="BI13" s="57">
        <f t="shared" ca="1" si="33"/>
        <v>31</v>
      </c>
      <c r="BJ13" s="57">
        <f t="shared" ca="1" si="34"/>
        <v>7</v>
      </c>
      <c r="BK13" s="57">
        <f t="shared" ca="1" si="35"/>
        <v>2</v>
      </c>
      <c r="BL13" s="59">
        <f t="shared" ca="1" si="36"/>
        <v>7</v>
      </c>
      <c r="BM13" t="str">
        <f t="shared" ca="1" si="12"/>
        <v>Mexico</v>
      </c>
      <c r="BN13" s="60">
        <f t="shared" ca="1" si="13"/>
        <v>57.5</v>
      </c>
      <c r="BP13">
        <f t="shared" ca="1" si="4"/>
        <v>33.299999999999997</v>
      </c>
      <c r="BQ13" s="56">
        <f ca="1">IF($G13=0,"",RANK(BP13,BP$7:BP$69)+COUNTIF(BP$7:BP13,BP13)-1)</f>
        <v>22</v>
      </c>
      <c r="BR13" s="57">
        <f t="shared" ca="1" si="37"/>
        <v>17</v>
      </c>
      <c r="BS13" s="57">
        <f t="shared" ca="1" si="38"/>
        <v>6</v>
      </c>
      <c r="BT13" s="57">
        <f t="shared" ca="1" si="39"/>
        <v>2</v>
      </c>
      <c r="BU13" s="59" t="str">
        <f t="shared" ca="1" si="40"/>
        <v>=6</v>
      </c>
      <c r="BV13" t="str">
        <f t="shared" ca="1" si="14"/>
        <v>El Salvador</v>
      </c>
      <c r="BW13" s="60">
        <f t="shared" ca="1" si="15"/>
        <v>58.3</v>
      </c>
      <c r="BY13">
        <f t="shared" ca="1" si="5"/>
        <v>44</v>
      </c>
      <c r="BZ13" s="56">
        <f ca="1">IF($G13=0,"",RANK(BY13,BY$7:BY$69)+COUNTIF(BY$7:BY13,BY13)-1)</f>
        <v>24</v>
      </c>
      <c r="CA13" s="57">
        <f t="shared" ca="1" si="41"/>
        <v>36</v>
      </c>
      <c r="CB13" s="57">
        <f t="shared" ca="1" si="42"/>
        <v>7</v>
      </c>
      <c r="CC13" s="57">
        <f t="shared" ca="1" si="43"/>
        <v>2</v>
      </c>
      <c r="CD13" s="59">
        <f t="shared" ca="1" si="44"/>
        <v>7</v>
      </c>
      <c r="CE13" t="str">
        <f t="shared" ca="1" si="16"/>
        <v>Nicaragua</v>
      </c>
      <c r="CF13" s="60">
        <f t="shared" ca="1" si="17"/>
        <v>58.7</v>
      </c>
    </row>
    <row r="14" spans="1:84">
      <c r="A14">
        <v>8</v>
      </c>
      <c r="B14">
        <f ca="1">tblCountries!A10</f>
        <v>8</v>
      </c>
      <c r="C14" t="str">
        <f ca="1">tblCountries!C10</f>
        <v>KH</v>
      </c>
      <c r="D14" t="str">
        <f ca="1">tblCountries!B10</f>
        <v>Cambodia</v>
      </c>
      <c r="E14">
        <f ca="1">tblCountries!H10</f>
        <v>2</v>
      </c>
      <c r="G14">
        <f ca="1">tblCountries!I10</f>
        <v>2</v>
      </c>
      <c r="H14">
        <f t="shared" ca="1" si="6"/>
        <v>54.1</v>
      </c>
      <c r="K14" s="56">
        <f ca="1">IF($G14=0,"",RANK(H14,H$7:H$69)+COUNTIF(H$7:H14,H14)-1)</f>
        <v>14</v>
      </c>
      <c r="L14" s="57">
        <f t="shared" ca="1" si="18"/>
        <v>12</v>
      </c>
      <c r="M14" s="57">
        <f t="shared" ca="1" si="19"/>
        <v>8</v>
      </c>
      <c r="N14" s="57">
        <f t="shared" ca="1" si="20"/>
        <v>2</v>
      </c>
      <c r="O14" s="59">
        <f t="shared" ca="1" si="21"/>
        <v>8</v>
      </c>
      <c r="P14" t="str">
        <f t="shared" ca="1" si="22"/>
        <v>Colombia</v>
      </c>
      <c r="Q14" s="60">
        <f t="shared" ca="1" si="23"/>
        <v>58.6</v>
      </c>
      <c r="AF14">
        <f t="shared" ca="1" si="0"/>
        <v>54.1</v>
      </c>
      <c r="AG14" s="56">
        <f ca="1">IF($E14&lt;0,"",RANK(AF14,AF$7:AF$61)+COUNTIF(AF$7:AF14,AF14)-1)</f>
        <v>14</v>
      </c>
      <c r="AH14" s="57">
        <f t="shared" ca="1" si="7"/>
        <v>12</v>
      </c>
      <c r="AI14" s="57">
        <f t="shared" ca="1" si="24"/>
        <v>8</v>
      </c>
      <c r="AJ14" s="57">
        <f t="shared" ca="1" si="45"/>
        <v>2</v>
      </c>
      <c r="AK14" s="59">
        <f t="shared" ca="1" si="46"/>
        <v>8</v>
      </c>
      <c r="AL14" t="str">
        <f t="shared" ca="1" si="47"/>
        <v>Colombia</v>
      </c>
      <c r="AM14" s="60">
        <f t="shared" ca="1" si="48"/>
        <v>58.6</v>
      </c>
      <c r="AO14">
        <f t="shared" ca="1" si="1"/>
        <v>54.1</v>
      </c>
      <c r="AP14" s="56">
        <f ca="1">IF($G14=0,"",RANK(AO14,AO$7:AO$69)+COUNTIF(AO$7:AO14,AO14)-1)</f>
        <v>14</v>
      </c>
      <c r="AQ14" s="57">
        <f t="shared" ca="1" si="25"/>
        <v>12</v>
      </c>
      <c r="AR14" s="57">
        <f t="shared" ca="1" si="26"/>
        <v>8</v>
      </c>
      <c r="AS14" s="57">
        <f t="shared" ca="1" si="27"/>
        <v>2</v>
      </c>
      <c r="AT14" s="59">
        <f t="shared" ca="1" si="28"/>
        <v>8</v>
      </c>
      <c r="AU14" t="str">
        <f t="shared" ca="1" si="8"/>
        <v>Colombia</v>
      </c>
      <c r="AV14" s="60">
        <f t="shared" ca="1" si="9"/>
        <v>58.6</v>
      </c>
      <c r="AX14">
        <f t="shared" ca="1" si="2"/>
        <v>87.5</v>
      </c>
      <c r="AY14" s="56">
        <f ca="1">IF($G14=0,"",RANK(AX14,AX$7:AX$69)+COUNTIF(AX$7:AX14,AX14)-1)</f>
        <v>1</v>
      </c>
      <c r="AZ14" s="57">
        <f t="shared" ca="1" si="29"/>
        <v>38</v>
      </c>
      <c r="BA14" s="57">
        <f t="shared" ca="1" si="30"/>
        <v>7</v>
      </c>
      <c r="BB14" s="57">
        <f t="shared" ca="1" si="31"/>
        <v>2</v>
      </c>
      <c r="BC14" s="59" t="str">
        <f t="shared" ca="1" si="32"/>
        <v>=7</v>
      </c>
      <c r="BD14" t="str">
        <f t="shared" ca="1" si="10"/>
        <v>Pakistan</v>
      </c>
      <c r="BE14" s="60">
        <f t="shared" ca="1" si="11"/>
        <v>75</v>
      </c>
      <c r="BG14">
        <f t="shared" ca="1" si="3"/>
        <v>45.6</v>
      </c>
      <c r="BH14" s="56">
        <f ca="1">IF($G14=0,"",RANK(BG14,BG$7:BG$69)+COUNTIF(BG$7:BG14,BG14)-1)</f>
        <v>25</v>
      </c>
      <c r="BI14" s="57">
        <f t="shared" ca="1" si="33"/>
        <v>41</v>
      </c>
      <c r="BJ14" s="57">
        <f t="shared" ca="1" si="34"/>
        <v>8</v>
      </c>
      <c r="BK14" s="57">
        <f t="shared" ca="1" si="35"/>
        <v>2</v>
      </c>
      <c r="BL14" s="59">
        <f t="shared" ca="1" si="36"/>
        <v>8</v>
      </c>
      <c r="BM14" t="str">
        <f t="shared" ca="1" si="12"/>
        <v>Peru</v>
      </c>
      <c r="BN14" s="60">
        <f t="shared" ca="1" si="13"/>
        <v>56.4</v>
      </c>
      <c r="BP14">
        <f t="shared" ca="1" si="4"/>
        <v>25</v>
      </c>
      <c r="BQ14" s="56">
        <f ca="1">IF($G14=0,"",RANK(BP14,BP$7:BP$69)+COUNTIF(BP$7:BP14,BP14)-1)</f>
        <v>31</v>
      </c>
      <c r="BR14" s="57">
        <f t="shared" ca="1" si="37"/>
        <v>21</v>
      </c>
      <c r="BS14" s="57">
        <f t="shared" ca="1" si="38"/>
        <v>6</v>
      </c>
      <c r="BT14" s="57">
        <f t="shared" ca="1" si="39"/>
        <v>2</v>
      </c>
      <c r="BU14" s="59" t="str">
        <f t="shared" ca="1" si="40"/>
        <v>=6</v>
      </c>
      <c r="BV14" t="str">
        <f t="shared" ca="1" si="14"/>
        <v>Guatemala</v>
      </c>
      <c r="BW14" s="60">
        <f t="shared" ca="1" si="15"/>
        <v>58.3</v>
      </c>
      <c r="BY14">
        <f t="shared" ca="1" si="5"/>
        <v>54.1</v>
      </c>
      <c r="BZ14" s="56">
        <f ca="1">IF($G14=0,"",RANK(BY14,BY$7:BY$69)+COUNTIF(BY$7:BY14,BY14)-1)</f>
        <v>14</v>
      </c>
      <c r="CA14" s="57">
        <f t="shared" ca="1" si="41"/>
        <v>12</v>
      </c>
      <c r="CB14" s="57">
        <f t="shared" ca="1" si="42"/>
        <v>8</v>
      </c>
      <c r="CC14" s="57">
        <f t="shared" ca="1" si="43"/>
        <v>2</v>
      </c>
      <c r="CD14" s="59">
        <f t="shared" ca="1" si="44"/>
        <v>8</v>
      </c>
      <c r="CE14" t="str">
        <f t="shared" ca="1" si="16"/>
        <v>Colombia</v>
      </c>
      <c r="CF14" s="60">
        <f t="shared" ca="1" si="17"/>
        <v>58.6</v>
      </c>
    </row>
    <row r="15" spans="1:84">
      <c r="A15">
        <v>9</v>
      </c>
      <c r="B15">
        <f ca="1">tblCountries!A11</f>
        <v>9</v>
      </c>
      <c r="C15" t="str">
        <f ca="1">tblCountries!C11</f>
        <v>CM</v>
      </c>
      <c r="D15" t="str">
        <f ca="1">tblCountries!B11</f>
        <v>Cameroon</v>
      </c>
      <c r="E15">
        <f ca="1">tblCountries!H11</f>
        <v>2</v>
      </c>
      <c r="G15">
        <f ca="1">tblCountries!I11</f>
        <v>2</v>
      </c>
      <c r="H15">
        <f t="shared" ca="1" si="6"/>
        <v>31.6</v>
      </c>
      <c r="K15" s="56">
        <f ca="1">IF($G15=0,"",RANK(H15,H$7:H$69)+COUNTIF(H$7:H15,H15)-1)</f>
        <v>41</v>
      </c>
      <c r="L15" s="57">
        <f t="shared" ca="1" si="18"/>
        <v>17</v>
      </c>
      <c r="M15" s="57">
        <f t="shared" ca="1" si="19"/>
        <v>9</v>
      </c>
      <c r="N15" s="57">
        <f t="shared" ca="1" si="20"/>
        <v>2</v>
      </c>
      <c r="O15" s="59" t="str">
        <f t="shared" ca="1" si="21"/>
        <v>=9</v>
      </c>
      <c r="P15" t="str">
        <f t="shared" ca="1" si="22"/>
        <v>El Salvador</v>
      </c>
      <c r="Q15" s="60">
        <f t="shared" ca="1" si="23"/>
        <v>57.5</v>
      </c>
      <c r="AF15">
        <f t="shared" ca="1" si="0"/>
        <v>31.6</v>
      </c>
      <c r="AG15" s="56">
        <f ca="1">IF($E15&lt;0,"",RANK(AF15,AF$7:AF$61)+COUNTIF(AF$7:AF15,AF15)-1)</f>
        <v>41</v>
      </c>
      <c r="AH15" s="57">
        <f t="shared" ca="1" si="7"/>
        <v>17</v>
      </c>
      <c r="AI15" s="57">
        <f t="shared" ca="1" si="24"/>
        <v>9</v>
      </c>
      <c r="AJ15" s="57">
        <f t="shared" ca="1" si="45"/>
        <v>2</v>
      </c>
      <c r="AK15" s="59" t="str">
        <f t="shared" ca="1" si="46"/>
        <v>=9</v>
      </c>
      <c r="AL15" t="str">
        <f t="shared" ca="1" si="47"/>
        <v>El Salvador</v>
      </c>
      <c r="AM15" s="60">
        <f t="shared" ca="1" si="48"/>
        <v>57.5</v>
      </c>
      <c r="AO15">
        <f t="shared" ca="1" si="1"/>
        <v>31.6</v>
      </c>
      <c r="AP15" s="56">
        <f ca="1">IF($G15=0,"",RANK(AO15,AO$7:AO$69)+COUNTIF(AO$7:AO15,AO15)-1)</f>
        <v>41</v>
      </c>
      <c r="AQ15" s="57">
        <f t="shared" ca="1" si="25"/>
        <v>17</v>
      </c>
      <c r="AR15" s="57">
        <f t="shared" ca="1" si="26"/>
        <v>9</v>
      </c>
      <c r="AS15" s="57">
        <f t="shared" ca="1" si="27"/>
        <v>2</v>
      </c>
      <c r="AT15" s="59" t="str">
        <f t="shared" ca="1" si="28"/>
        <v>=9</v>
      </c>
      <c r="AU15" t="str">
        <f t="shared" ca="1" si="8"/>
        <v>El Salvador</v>
      </c>
      <c r="AV15" s="60">
        <f t="shared" ca="1" si="9"/>
        <v>57.5</v>
      </c>
      <c r="AX15">
        <f t="shared" ca="1" si="2"/>
        <v>50</v>
      </c>
      <c r="AY15" s="56">
        <f ca="1">IF($G15=0,"",RANK(AX15,AX$7:AX$69)+COUNTIF(AX$7:AX15,AX15)-1)</f>
        <v>29</v>
      </c>
      <c r="AZ15" s="57">
        <f t="shared" ca="1" si="29"/>
        <v>51</v>
      </c>
      <c r="BA15" s="57">
        <f t="shared" ca="1" si="30"/>
        <v>7</v>
      </c>
      <c r="BB15" s="57">
        <f t="shared" ca="1" si="31"/>
        <v>2</v>
      </c>
      <c r="BC15" s="59" t="str">
        <f t="shared" ca="1" si="32"/>
        <v>=7</v>
      </c>
      <c r="BD15" t="str">
        <f t="shared" ca="1" si="10"/>
        <v>Uganda</v>
      </c>
      <c r="BE15" s="60">
        <f t="shared" ca="1" si="11"/>
        <v>75</v>
      </c>
      <c r="BG15">
        <f t="shared" ca="1" si="3"/>
        <v>24.7</v>
      </c>
      <c r="BH15" s="56">
        <f ca="1">IF($G15=0,"",RANK(BG15,BG$7:BG$69)+COUNTIF(BG$7:BG15,BG15)-1)</f>
        <v>54</v>
      </c>
      <c r="BI15" s="57">
        <f t="shared" ca="1" si="33"/>
        <v>49</v>
      </c>
      <c r="BJ15" s="57">
        <f t="shared" ca="1" si="34"/>
        <v>9</v>
      </c>
      <c r="BK15" s="57">
        <f t="shared" ca="1" si="35"/>
        <v>2</v>
      </c>
      <c r="BL15" s="59">
        <f t="shared" ca="1" si="36"/>
        <v>9</v>
      </c>
      <c r="BM15" t="str">
        <f t="shared" ca="1" si="12"/>
        <v>Trinidad and Tobago</v>
      </c>
      <c r="BN15" s="60">
        <f t="shared" ca="1" si="13"/>
        <v>56.1</v>
      </c>
      <c r="BP15">
        <f t="shared" ca="1" si="4"/>
        <v>16.7</v>
      </c>
      <c r="BQ15" s="56">
        <f ca="1">IF($G15=0,"",RANK(BP15,BP$7:BP$69)+COUNTIF(BP$7:BP15,BP15)-1)</f>
        <v>41</v>
      </c>
      <c r="BR15" s="57">
        <f t="shared" ca="1" si="37"/>
        <v>23</v>
      </c>
      <c r="BS15" s="57">
        <f t="shared" ca="1" si="38"/>
        <v>6</v>
      </c>
      <c r="BT15" s="57">
        <f t="shared" ca="1" si="39"/>
        <v>2</v>
      </c>
      <c r="BU15" s="59" t="str">
        <f t="shared" ca="1" si="40"/>
        <v>=6</v>
      </c>
      <c r="BV15" t="str">
        <f t="shared" ca="1" si="14"/>
        <v>Honduras</v>
      </c>
      <c r="BW15" s="60">
        <f t="shared" ca="1" si="15"/>
        <v>58.3</v>
      </c>
      <c r="BY15">
        <f t="shared" ca="1" si="5"/>
        <v>31.6</v>
      </c>
      <c r="BZ15" s="56">
        <f ca="1">IF($G15=0,"",RANK(BY15,BY$7:BY$69)+COUNTIF(BY$7:BY15,BY15)-1)</f>
        <v>41</v>
      </c>
      <c r="CA15" s="57">
        <f t="shared" ca="1" si="41"/>
        <v>17</v>
      </c>
      <c r="CB15" s="57">
        <f t="shared" ca="1" si="42"/>
        <v>9</v>
      </c>
      <c r="CC15" s="57">
        <f t="shared" ca="1" si="43"/>
        <v>2</v>
      </c>
      <c r="CD15" s="59" t="str">
        <f t="shared" ca="1" si="44"/>
        <v>=9</v>
      </c>
      <c r="CE15" t="str">
        <f t="shared" ca="1" si="16"/>
        <v>El Salvador</v>
      </c>
      <c r="CF15" s="60">
        <f t="shared" ca="1" si="17"/>
        <v>57.5</v>
      </c>
    </row>
    <row r="16" spans="1:84">
      <c r="A16">
        <v>10</v>
      </c>
      <c r="B16">
        <f ca="1">tblCountries!A12</f>
        <v>10</v>
      </c>
      <c r="C16" t="str">
        <f ca="1">tblCountries!C12</f>
        <v>CL</v>
      </c>
      <c r="D16" t="str">
        <f ca="1">tblCountries!B12</f>
        <v>Chile</v>
      </c>
      <c r="E16">
        <f ca="1">tblCountries!H12</f>
        <v>2</v>
      </c>
      <c r="G16">
        <f ca="1">tblCountries!I12</f>
        <v>2</v>
      </c>
      <c r="H16">
        <f t="shared" ca="1" si="6"/>
        <v>48</v>
      </c>
      <c r="K16" s="56">
        <f ca="1">IF($G16=0,"",RANK(H16,H$7:H$69)+COUNTIF(H$7:H16,H16)-1)</f>
        <v>20</v>
      </c>
      <c r="L16" s="57">
        <f t="shared" ca="1" si="18"/>
        <v>51</v>
      </c>
      <c r="M16" s="57">
        <f t="shared" ca="1" si="19"/>
        <v>9</v>
      </c>
      <c r="N16" s="57">
        <f t="shared" ca="1" si="20"/>
        <v>2</v>
      </c>
      <c r="O16" s="59" t="str">
        <f t="shared" ca="1" si="21"/>
        <v>=9</v>
      </c>
      <c r="P16" t="str">
        <f t="shared" ca="1" si="22"/>
        <v>Uganda</v>
      </c>
      <c r="Q16" s="60">
        <f t="shared" ca="1" si="23"/>
        <v>57.5</v>
      </c>
      <c r="AF16">
        <f t="shared" ca="1" si="0"/>
        <v>48</v>
      </c>
      <c r="AG16" s="56">
        <f ca="1">IF($E16&lt;0,"",RANK(AF16,AF$7:AF$61)+COUNTIF(AF$7:AF16,AF16)-1)</f>
        <v>20</v>
      </c>
      <c r="AH16" s="57">
        <f t="shared" ca="1" si="7"/>
        <v>51</v>
      </c>
      <c r="AI16" s="57">
        <f t="shared" ca="1" si="24"/>
        <v>9</v>
      </c>
      <c r="AJ16" s="57">
        <f t="shared" ca="1" si="45"/>
        <v>2</v>
      </c>
      <c r="AK16" s="59" t="str">
        <f t="shared" ca="1" si="46"/>
        <v>=9</v>
      </c>
      <c r="AL16" t="str">
        <f t="shared" ca="1" si="47"/>
        <v>Uganda</v>
      </c>
      <c r="AM16" s="60">
        <f t="shared" ca="1" si="48"/>
        <v>57.5</v>
      </c>
      <c r="AO16">
        <f t="shared" ca="1" si="1"/>
        <v>48</v>
      </c>
      <c r="AP16" s="56">
        <f ca="1">IF($G16=0,"",RANK(AO16,AO$7:AO$69)+COUNTIF(AO$7:AO16,AO16)-1)</f>
        <v>20</v>
      </c>
      <c r="AQ16" s="57">
        <f t="shared" ca="1" si="25"/>
        <v>51</v>
      </c>
      <c r="AR16" s="57">
        <f t="shared" ca="1" si="26"/>
        <v>9</v>
      </c>
      <c r="AS16" s="57">
        <f t="shared" ca="1" si="27"/>
        <v>2</v>
      </c>
      <c r="AT16" s="59" t="str">
        <f t="shared" ca="1" si="28"/>
        <v>=9</v>
      </c>
      <c r="AU16" t="str">
        <f t="shared" ca="1" si="8"/>
        <v>Uganda</v>
      </c>
      <c r="AV16" s="60">
        <f t="shared" ca="1" si="9"/>
        <v>57.5</v>
      </c>
      <c r="AX16">
        <f t="shared" ca="1" si="2"/>
        <v>50</v>
      </c>
      <c r="AY16" s="56">
        <f ca="1">IF($G16=0,"",RANK(AX16,AX$7:AX$69)+COUNTIF(AX$7:AX16,AX16)-1)</f>
        <v>30</v>
      </c>
      <c r="AZ16" s="57">
        <f t="shared" ca="1" si="29"/>
        <v>16</v>
      </c>
      <c r="BA16" s="57">
        <f t="shared" ca="1" si="30"/>
        <v>10</v>
      </c>
      <c r="BB16" s="57">
        <f t="shared" ca="1" si="31"/>
        <v>2</v>
      </c>
      <c r="BC16" s="59" t="str">
        <f t="shared" ca="1" si="32"/>
        <v>=10</v>
      </c>
      <c r="BD16" t="str">
        <f t="shared" ca="1" si="10"/>
        <v>Ecuador</v>
      </c>
      <c r="BE16" s="60">
        <f t="shared" ca="1" si="11"/>
        <v>68.8</v>
      </c>
      <c r="BG16">
        <f t="shared" ca="1" si="3"/>
        <v>73.3</v>
      </c>
      <c r="BH16" s="56">
        <f ca="1">IF($G16=0,"",RANK(BG16,BG$7:BG$69)+COUNTIF(BG$7:BG16,BG16)-1)</f>
        <v>1</v>
      </c>
      <c r="BI16" s="57">
        <f t="shared" ca="1" si="33"/>
        <v>20</v>
      </c>
      <c r="BJ16" s="57">
        <f t="shared" ca="1" si="34"/>
        <v>10</v>
      </c>
      <c r="BK16" s="57">
        <f t="shared" ca="1" si="35"/>
        <v>2</v>
      </c>
      <c r="BL16" s="59">
        <f t="shared" ca="1" si="36"/>
        <v>10</v>
      </c>
      <c r="BM16" t="str">
        <f t="shared" ca="1" si="12"/>
        <v>Ghana</v>
      </c>
      <c r="BN16" s="60">
        <f t="shared" ca="1" si="13"/>
        <v>54.4</v>
      </c>
      <c r="BP16">
        <f t="shared" ca="1" si="4"/>
        <v>33.299999999999997</v>
      </c>
      <c r="BQ16" s="56">
        <f ca="1">IF($G16=0,"",RANK(BP16,BP$7:BP$69)+COUNTIF(BP$7:BP16,BP16)-1)</f>
        <v>23</v>
      </c>
      <c r="BR16" s="57">
        <f t="shared" ca="1" si="37"/>
        <v>42</v>
      </c>
      <c r="BS16" s="57">
        <f t="shared" ca="1" si="38"/>
        <v>6</v>
      </c>
      <c r="BT16" s="57">
        <f t="shared" ca="1" si="39"/>
        <v>2</v>
      </c>
      <c r="BU16" s="59" t="str">
        <f t="shared" ca="1" si="40"/>
        <v>=6</v>
      </c>
      <c r="BV16" t="str">
        <f t="shared" ca="1" si="14"/>
        <v>Philippines</v>
      </c>
      <c r="BW16" s="60">
        <f t="shared" ca="1" si="15"/>
        <v>58.3</v>
      </c>
      <c r="BY16">
        <f t="shared" ca="1" si="5"/>
        <v>48</v>
      </c>
      <c r="BZ16" s="56">
        <f ca="1">IF($G16=0,"",RANK(BY16,BY$7:BY$69)+COUNTIF(BY$7:BY16,BY16)-1)</f>
        <v>20</v>
      </c>
      <c r="CA16" s="57">
        <f t="shared" ca="1" si="41"/>
        <v>51</v>
      </c>
      <c r="CB16" s="57">
        <f t="shared" ca="1" si="42"/>
        <v>9</v>
      </c>
      <c r="CC16" s="57">
        <f t="shared" ca="1" si="43"/>
        <v>2</v>
      </c>
      <c r="CD16" s="59" t="str">
        <f t="shared" ca="1" si="44"/>
        <v>=9</v>
      </c>
      <c r="CE16" t="str">
        <f t="shared" ca="1" si="16"/>
        <v>Uganda</v>
      </c>
      <c r="CF16" s="60">
        <f t="shared" ca="1" si="17"/>
        <v>57.5</v>
      </c>
    </row>
    <row r="17" spans="1:84">
      <c r="A17">
        <v>11</v>
      </c>
      <c r="B17">
        <f ca="1">tblCountries!A13</f>
        <v>11</v>
      </c>
      <c r="C17" t="str">
        <f ca="1">tblCountries!C13</f>
        <v>CN</v>
      </c>
      <c r="D17" t="str">
        <f ca="1">tblCountries!B13</f>
        <v>China</v>
      </c>
      <c r="E17">
        <f ca="1">tblCountries!H13</f>
        <v>2</v>
      </c>
      <c r="G17">
        <f ca="1">tblCountries!I13</f>
        <v>2</v>
      </c>
      <c r="H17">
        <f t="shared" ca="1" si="6"/>
        <v>34.1</v>
      </c>
      <c r="K17" s="56">
        <f ca="1">IF($G17=0,"",RANK(H17,H$7:H$69)+COUNTIF(H$7:H17,H17)-1)</f>
        <v>37</v>
      </c>
      <c r="L17" s="57">
        <f t="shared" ca="1" si="18"/>
        <v>38</v>
      </c>
      <c r="M17" s="57">
        <f t="shared" ca="1" si="19"/>
        <v>11</v>
      </c>
      <c r="N17" s="57">
        <f t="shared" ca="1" si="20"/>
        <v>2</v>
      </c>
      <c r="O17" s="59">
        <f t="shared" ca="1" si="21"/>
        <v>11</v>
      </c>
      <c r="P17" t="str">
        <f t="shared" ca="1" si="22"/>
        <v>Pakistan</v>
      </c>
      <c r="Q17" s="60">
        <f t="shared" ca="1" si="23"/>
        <v>56.5</v>
      </c>
      <c r="AF17">
        <f t="shared" ca="1" si="0"/>
        <v>34.1</v>
      </c>
      <c r="AG17" s="56">
        <f ca="1">IF($E17&lt;0,"",RANK(AF17,AF$7:AF$61)+COUNTIF(AF$7:AF17,AF17)-1)</f>
        <v>37</v>
      </c>
      <c r="AH17" s="57">
        <f t="shared" ca="1" si="7"/>
        <v>38</v>
      </c>
      <c r="AI17" s="57">
        <f t="shared" ca="1" si="24"/>
        <v>11</v>
      </c>
      <c r="AJ17" s="57">
        <f t="shared" ca="1" si="45"/>
        <v>2</v>
      </c>
      <c r="AK17" s="59">
        <f t="shared" ca="1" si="46"/>
        <v>11</v>
      </c>
      <c r="AL17" t="str">
        <f t="shared" ca="1" si="47"/>
        <v>Pakistan</v>
      </c>
      <c r="AM17" s="60">
        <f t="shared" ca="1" si="48"/>
        <v>56.5</v>
      </c>
      <c r="AO17">
        <f t="shared" ca="1" si="1"/>
        <v>34.1</v>
      </c>
      <c r="AP17" s="56">
        <f ca="1">IF($G17=0,"",RANK(AO17,AO$7:AO$69)+COUNTIF(AO$7:AO17,AO17)-1)</f>
        <v>37</v>
      </c>
      <c r="AQ17" s="57">
        <f t="shared" ca="1" si="25"/>
        <v>38</v>
      </c>
      <c r="AR17" s="57">
        <f t="shared" ca="1" si="26"/>
        <v>11</v>
      </c>
      <c r="AS17" s="57">
        <f t="shared" ca="1" si="27"/>
        <v>2</v>
      </c>
      <c r="AT17" s="59">
        <f t="shared" ca="1" si="28"/>
        <v>11</v>
      </c>
      <c r="AU17" t="str">
        <f t="shared" ca="1" si="8"/>
        <v>Pakistan</v>
      </c>
      <c r="AV17" s="60">
        <f t="shared" ca="1" si="9"/>
        <v>56.5</v>
      </c>
      <c r="AX17">
        <f t="shared" ca="1" si="2"/>
        <v>43.8</v>
      </c>
      <c r="AY17" s="56">
        <f ca="1">IF($G17=0,"",RANK(AX17,AX$7:AX$69)+COUNTIF(AX$7:AX17,AX17)-1)</f>
        <v>36</v>
      </c>
      <c r="AZ17" s="57">
        <f t="shared" ca="1" si="29"/>
        <v>46</v>
      </c>
      <c r="BA17" s="57">
        <f t="shared" ca="1" si="30"/>
        <v>10</v>
      </c>
      <c r="BB17" s="57">
        <f t="shared" ca="1" si="31"/>
        <v>2</v>
      </c>
      <c r="BC17" s="59" t="str">
        <f t="shared" ca="1" si="32"/>
        <v>=10</v>
      </c>
      <c r="BD17" t="str">
        <f t="shared" ca="1" si="10"/>
        <v>Tajikistan</v>
      </c>
      <c r="BE17" s="60">
        <f t="shared" ca="1" si="11"/>
        <v>68.8</v>
      </c>
      <c r="BG17">
        <f t="shared" ca="1" si="3"/>
        <v>33.1</v>
      </c>
      <c r="BH17" s="56">
        <f ca="1">IF($G17=0,"",RANK(BG17,BG$7:BG$69)+COUNTIF(BG$7:BG17,BG17)-1)</f>
        <v>44</v>
      </c>
      <c r="BI17" s="57">
        <f t="shared" ca="1" si="33"/>
        <v>51</v>
      </c>
      <c r="BJ17" s="57">
        <f t="shared" ca="1" si="34"/>
        <v>11</v>
      </c>
      <c r="BK17" s="57">
        <f t="shared" ca="1" si="35"/>
        <v>2</v>
      </c>
      <c r="BL17" s="59">
        <f t="shared" ca="1" si="36"/>
        <v>11</v>
      </c>
      <c r="BM17" t="str">
        <f t="shared" ca="1" si="12"/>
        <v>Uganda</v>
      </c>
      <c r="BN17" s="60">
        <f t="shared" ca="1" si="13"/>
        <v>54.2</v>
      </c>
      <c r="BP17">
        <f t="shared" ca="1" si="4"/>
        <v>25</v>
      </c>
      <c r="BQ17" s="56">
        <f ca="1">IF($G17=0,"",RANK(BP17,BP$7:BP$69)+COUNTIF(BP$7:BP17,BP17)-1)</f>
        <v>32</v>
      </c>
      <c r="BR17" s="57">
        <f t="shared" ca="1" si="37"/>
        <v>14</v>
      </c>
      <c r="BS17" s="57">
        <f t="shared" ca="1" si="38"/>
        <v>11</v>
      </c>
      <c r="BT17" s="57">
        <f t="shared" ca="1" si="39"/>
        <v>2</v>
      </c>
      <c r="BU17" s="59" t="str">
        <f t="shared" ca="1" si="40"/>
        <v>=11</v>
      </c>
      <c r="BV17" t="str">
        <f t="shared" ca="1" si="14"/>
        <v>Dominican Republic</v>
      </c>
      <c r="BW17" s="60">
        <f t="shared" ca="1" si="15"/>
        <v>50</v>
      </c>
      <c r="BY17">
        <f t="shared" ca="1" si="5"/>
        <v>34.1</v>
      </c>
      <c r="BZ17" s="56">
        <f ca="1">IF($G17=0,"",RANK(BY17,BY$7:BY$69)+COUNTIF(BY$7:BY17,BY17)-1)</f>
        <v>37</v>
      </c>
      <c r="CA17" s="57">
        <f t="shared" ca="1" si="41"/>
        <v>38</v>
      </c>
      <c r="CB17" s="57">
        <f t="shared" ca="1" si="42"/>
        <v>11</v>
      </c>
      <c r="CC17" s="57">
        <f t="shared" ca="1" si="43"/>
        <v>2</v>
      </c>
      <c r="CD17" s="59">
        <f t="shared" ca="1" si="44"/>
        <v>11</v>
      </c>
      <c r="CE17" t="str">
        <f t="shared" ca="1" si="16"/>
        <v>Pakistan</v>
      </c>
      <c r="CF17" s="60">
        <f t="shared" ca="1" si="17"/>
        <v>56.5</v>
      </c>
    </row>
    <row r="18" spans="1:84">
      <c r="A18">
        <v>12</v>
      </c>
      <c r="B18">
        <f ca="1">tblCountries!A14</f>
        <v>12</v>
      </c>
      <c r="C18" t="str">
        <f ca="1">tblCountries!C14</f>
        <v>CO</v>
      </c>
      <c r="D18" t="str">
        <f ca="1">tblCountries!B14</f>
        <v>Colombia</v>
      </c>
      <c r="E18">
        <f ca="1">tblCountries!H14</f>
        <v>2</v>
      </c>
      <c r="G18">
        <f ca="1">tblCountries!I14</f>
        <v>2</v>
      </c>
      <c r="H18">
        <f t="shared" ca="1" si="6"/>
        <v>58.6</v>
      </c>
      <c r="K18" s="56">
        <f ca="1">IF($G18=0,"",RANK(H18,H$7:H$69)+COUNTIF(H$7:H18,H18)-1)</f>
        <v>8</v>
      </c>
      <c r="L18" s="57">
        <f t="shared" ca="1" si="18"/>
        <v>28</v>
      </c>
      <c r="M18" s="57">
        <f t="shared" ca="1" si="19"/>
        <v>12</v>
      </c>
      <c r="N18" s="57">
        <f t="shared" ca="1" si="20"/>
        <v>2</v>
      </c>
      <c r="O18" s="59">
        <f t="shared" ca="1" si="21"/>
        <v>12</v>
      </c>
      <c r="P18" t="str">
        <f t="shared" ca="1" si="22"/>
        <v>Kyrgyzstan</v>
      </c>
      <c r="Q18" s="60">
        <f t="shared" ca="1" si="23"/>
        <v>56.2</v>
      </c>
      <c r="AF18">
        <f t="shared" ca="1" si="0"/>
        <v>58.6</v>
      </c>
      <c r="AG18" s="56">
        <f ca="1">IF($E18&lt;0,"",RANK(AF18,AF$7:AF$61)+COUNTIF(AF$7:AF18,AF18)-1)</f>
        <v>8</v>
      </c>
      <c r="AH18" s="57">
        <f t="shared" ca="1" si="7"/>
        <v>28</v>
      </c>
      <c r="AI18" s="57">
        <f t="shared" ca="1" si="24"/>
        <v>12</v>
      </c>
      <c r="AJ18" s="57">
        <f t="shared" ca="1" si="45"/>
        <v>2</v>
      </c>
      <c r="AK18" s="59">
        <f t="shared" ca="1" si="46"/>
        <v>12</v>
      </c>
      <c r="AL18" t="str">
        <f t="shared" ca="1" si="47"/>
        <v>Kyrgyzstan</v>
      </c>
      <c r="AM18" s="60">
        <f t="shared" ca="1" si="48"/>
        <v>56.2</v>
      </c>
      <c r="AO18">
        <f t="shared" ca="1" si="1"/>
        <v>58.6</v>
      </c>
      <c r="AP18" s="56">
        <f ca="1">IF($G18=0,"",RANK(AO18,AO$7:AO$69)+COUNTIF(AO$7:AO18,AO18)-1)</f>
        <v>8</v>
      </c>
      <c r="AQ18" s="57">
        <f t="shared" ca="1" si="25"/>
        <v>28</v>
      </c>
      <c r="AR18" s="57">
        <f t="shared" ca="1" si="26"/>
        <v>12</v>
      </c>
      <c r="AS18" s="57">
        <f t="shared" ca="1" si="27"/>
        <v>2</v>
      </c>
      <c r="AT18" s="59">
        <f t="shared" ca="1" si="28"/>
        <v>12</v>
      </c>
      <c r="AU18" t="str">
        <f t="shared" ca="1" si="8"/>
        <v>Kyrgyzstan</v>
      </c>
      <c r="AV18" s="60">
        <f t="shared" ca="1" si="9"/>
        <v>56.2</v>
      </c>
      <c r="AX18">
        <f t="shared" ca="1" si="2"/>
        <v>62.5</v>
      </c>
      <c r="AY18" s="56">
        <f ca="1">IF($G18=0,"",RANK(AX18,AX$7:AX$69)+COUNTIF(AX$7:AX18,AX18)-1)</f>
        <v>13</v>
      </c>
      <c r="AZ18" s="57">
        <f t="shared" ca="1" si="29"/>
        <v>47</v>
      </c>
      <c r="BA18" s="57">
        <f t="shared" ca="1" si="30"/>
        <v>10</v>
      </c>
      <c r="BB18" s="57">
        <f t="shared" ca="1" si="31"/>
        <v>2</v>
      </c>
      <c r="BC18" s="59" t="str">
        <f t="shared" ca="1" si="32"/>
        <v>=10</v>
      </c>
      <c r="BD18" t="str">
        <f t="shared" ca="1" si="10"/>
        <v>Tanzania</v>
      </c>
      <c r="BE18" s="60">
        <f t="shared" ca="1" si="11"/>
        <v>68.8</v>
      </c>
      <c r="BG18">
        <f t="shared" ca="1" si="3"/>
        <v>51.4</v>
      </c>
      <c r="BH18" s="56">
        <f ca="1">IF($G18=0,"",RANK(BG18,BG$7:BG$69)+COUNTIF(BG$7:BG18,BG18)-1)</f>
        <v>16</v>
      </c>
      <c r="BI18" s="57">
        <f t="shared" ca="1" si="33"/>
        <v>7</v>
      </c>
      <c r="BJ18" s="57">
        <f t="shared" ca="1" si="34"/>
        <v>12</v>
      </c>
      <c r="BK18" s="57">
        <f t="shared" ca="1" si="35"/>
        <v>2</v>
      </c>
      <c r="BL18" s="59">
        <f t="shared" ca="1" si="36"/>
        <v>12</v>
      </c>
      <c r="BM18" t="str">
        <f t="shared" ca="1" si="12"/>
        <v>Brazil</v>
      </c>
      <c r="BN18" s="60">
        <f t="shared" ca="1" si="13"/>
        <v>53.6</v>
      </c>
      <c r="BP18">
        <f t="shared" ca="1" si="4"/>
        <v>58.3</v>
      </c>
      <c r="BQ18" s="56">
        <f ca="1">IF($G18=0,"",RANK(BP18,BP$7:BP$69)+COUNTIF(BP$7:BP18,BP18)-1)</f>
        <v>6</v>
      </c>
      <c r="BR18" s="57">
        <f t="shared" ca="1" si="37"/>
        <v>20</v>
      </c>
      <c r="BS18" s="57">
        <f t="shared" ca="1" si="38"/>
        <v>11</v>
      </c>
      <c r="BT18" s="57">
        <f t="shared" ca="1" si="39"/>
        <v>2</v>
      </c>
      <c r="BU18" s="59" t="str">
        <f t="shared" ca="1" si="40"/>
        <v>=11</v>
      </c>
      <c r="BV18" t="str">
        <f t="shared" ca="1" si="14"/>
        <v>Ghana</v>
      </c>
      <c r="BW18" s="60">
        <f t="shared" ca="1" si="15"/>
        <v>50</v>
      </c>
      <c r="BY18">
        <f t="shared" ca="1" si="5"/>
        <v>58.6</v>
      </c>
      <c r="BZ18" s="56">
        <f ca="1">IF($G18=0,"",RANK(BY18,BY$7:BY$69)+COUNTIF(BY$7:BY18,BY18)-1)</f>
        <v>8</v>
      </c>
      <c r="CA18" s="57">
        <f t="shared" ca="1" si="41"/>
        <v>28</v>
      </c>
      <c r="CB18" s="57">
        <f t="shared" ca="1" si="42"/>
        <v>12</v>
      </c>
      <c r="CC18" s="57">
        <f t="shared" ca="1" si="43"/>
        <v>2</v>
      </c>
      <c r="CD18" s="59">
        <f t="shared" ca="1" si="44"/>
        <v>12</v>
      </c>
      <c r="CE18" t="str">
        <f t="shared" ca="1" si="16"/>
        <v>Kyrgyzstan</v>
      </c>
      <c r="CF18" s="60">
        <f t="shared" ca="1" si="17"/>
        <v>56.2</v>
      </c>
    </row>
    <row r="19" spans="1:84">
      <c r="A19">
        <v>13</v>
      </c>
      <c r="B19">
        <f ca="1">tblCountries!A15</f>
        <v>13</v>
      </c>
      <c r="C19" t="str">
        <f ca="1">tblCountries!C15</f>
        <v>CR</v>
      </c>
      <c r="D19" t="str">
        <f ca="1">tblCountries!B15</f>
        <v>Costa Rica</v>
      </c>
      <c r="E19">
        <f ca="1">tblCountries!H15</f>
        <v>2</v>
      </c>
      <c r="G19">
        <f ca="1">tblCountries!I15</f>
        <v>2</v>
      </c>
      <c r="H19">
        <f t="shared" ca="1" si="6"/>
        <v>42.5</v>
      </c>
      <c r="K19" s="56">
        <f ca="1">IF($G19=0,"",RANK(H19,H$7:H$69)+COUNTIF(H$7:H19,H19)-1)</f>
        <v>28</v>
      </c>
      <c r="L19" s="57">
        <f t="shared" ca="1" si="18"/>
        <v>27</v>
      </c>
      <c r="M19" s="57">
        <f t="shared" ca="1" si="19"/>
        <v>13</v>
      </c>
      <c r="N19" s="57">
        <f t="shared" ca="1" si="20"/>
        <v>2</v>
      </c>
      <c r="O19" s="59">
        <f t="shared" ca="1" si="21"/>
        <v>13</v>
      </c>
      <c r="P19" t="str">
        <f t="shared" ca="1" si="22"/>
        <v>Kenya</v>
      </c>
      <c r="Q19" s="60">
        <f t="shared" ca="1" si="23"/>
        <v>55.8</v>
      </c>
      <c r="AF19">
        <f t="shared" ca="1" si="0"/>
        <v>42.5</v>
      </c>
      <c r="AG19" s="56">
        <f ca="1">IF($E19&lt;0,"",RANK(AF19,AF$7:AF$61)+COUNTIF(AF$7:AF19,AF19)-1)</f>
        <v>28</v>
      </c>
      <c r="AH19" s="57">
        <f t="shared" ca="1" si="7"/>
        <v>27</v>
      </c>
      <c r="AI19" s="57">
        <f t="shared" ca="1" si="24"/>
        <v>13</v>
      </c>
      <c r="AJ19" s="57">
        <f t="shared" ca="1" si="45"/>
        <v>2</v>
      </c>
      <c r="AK19" s="59">
        <f t="shared" ca="1" si="46"/>
        <v>13</v>
      </c>
      <c r="AL19" t="str">
        <f t="shared" ca="1" si="47"/>
        <v>Kenya</v>
      </c>
      <c r="AM19" s="60">
        <f t="shared" ca="1" si="48"/>
        <v>55.8</v>
      </c>
      <c r="AO19">
        <f t="shared" ca="1" si="1"/>
        <v>42.5</v>
      </c>
      <c r="AP19" s="56">
        <f ca="1">IF($G19=0,"",RANK(AO19,AO$7:AO$69)+COUNTIF(AO$7:AO19,AO19)-1)</f>
        <v>28</v>
      </c>
      <c r="AQ19" s="57">
        <f t="shared" ca="1" si="25"/>
        <v>27</v>
      </c>
      <c r="AR19" s="57">
        <f t="shared" ca="1" si="26"/>
        <v>13</v>
      </c>
      <c r="AS19" s="57">
        <f t="shared" ca="1" si="27"/>
        <v>2</v>
      </c>
      <c r="AT19" s="59">
        <f t="shared" ca="1" si="28"/>
        <v>13</v>
      </c>
      <c r="AU19" t="str">
        <f t="shared" ca="1" si="8"/>
        <v>Kenya</v>
      </c>
      <c r="AV19" s="60">
        <f t="shared" ca="1" si="9"/>
        <v>55.8</v>
      </c>
      <c r="AX19">
        <f t="shared" ca="1" si="2"/>
        <v>43.8</v>
      </c>
      <c r="AY19" s="56">
        <f ca="1">IF($G19=0,"",RANK(AX19,AX$7:AX$69)+COUNTIF(AX$7:AX19,AX19)-1)</f>
        <v>37</v>
      </c>
      <c r="AZ19" s="57">
        <f t="shared" ca="1" si="29"/>
        <v>12</v>
      </c>
      <c r="BA19" s="57">
        <f t="shared" ca="1" si="30"/>
        <v>13</v>
      </c>
      <c r="BB19" s="57">
        <f t="shared" ca="1" si="31"/>
        <v>2</v>
      </c>
      <c r="BC19" s="59" t="str">
        <f t="shared" ca="1" si="32"/>
        <v>=13</v>
      </c>
      <c r="BD19" t="str">
        <f t="shared" ca="1" si="10"/>
        <v>Colombia</v>
      </c>
      <c r="BE19" s="60">
        <f t="shared" ca="1" si="11"/>
        <v>62.5</v>
      </c>
      <c r="BG19">
        <f t="shared" ca="1" si="3"/>
        <v>58.1</v>
      </c>
      <c r="BH19" s="56">
        <f ca="1">IF($G19=0,"",RANK(BG19,BG$7:BG$69)+COUNTIF(BG$7:BG19,BG19)-1)</f>
        <v>6</v>
      </c>
      <c r="BI19" s="57">
        <f t="shared" ca="1" si="33"/>
        <v>2</v>
      </c>
      <c r="BJ19" s="57">
        <f t="shared" ca="1" si="34"/>
        <v>13</v>
      </c>
      <c r="BK19" s="57">
        <f t="shared" ca="1" si="35"/>
        <v>2</v>
      </c>
      <c r="BL19" s="59">
        <f t="shared" ca="1" si="36"/>
        <v>13</v>
      </c>
      <c r="BM19" t="str">
        <f t="shared" ca="1" si="12"/>
        <v>Armenia</v>
      </c>
      <c r="BN19" s="60">
        <f t="shared" ca="1" si="13"/>
        <v>53.1</v>
      </c>
      <c r="BP19">
        <f t="shared" ca="1" si="4"/>
        <v>33.299999999999997</v>
      </c>
      <c r="BQ19" s="56">
        <f ca="1">IF($G19=0,"",RANK(BP19,BP$7:BP$69)+COUNTIF(BP$7:BP19,BP19)-1)</f>
        <v>24</v>
      </c>
      <c r="BR19" s="57">
        <f t="shared" ca="1" si="37"/>
        <v>45</v>
      </c>
      <c r="BS19" s="57">
        <f t="shared" ca="1" si="38"/>
        <v>11</v>
      </c>
      <c r="BT19" s="57">
        <f t="shared" ca="1" si="39"/>
        <v>2</v>
      </c>
      <c r="BU19" s="59" t="str">
        <f t="shared" ca="1" si="40"/>
        <v>=11</v>
      </c>
      <c r="BV19" t="str">
        <f t="shared" ca="1" si="14"/>
        <v>Sri Lanka</v>
      </c>
      <c r="BW19" s="60">
        <f t="shared" ca="1" si="15"/>
        <v>50</v>
      </c>
      <c r="BY19">
        <f t="shared" ca="1" si="5"/>
        <v>42.5</v>
      </c>
      <c r="BZ19" s="56">
        <f ca="1">IF($G19=0,"",RANK(BY19,BY$7:BY$69)+COUNTIF(BY$7:BY19,BY19)-1)</f>
        <v>28</v>
      </c>
      <c r="CA19" s="57">
        <f t="shared" ca="1" si="41"/>
        <v>27</v>
      </c>
      <c r="CB19" s="57">
        <f t="shared" ca="1" si="42"/>
        <v>13</v>
      </c>
      <c r="CC19" s="57">
        <f t="shared" ca="1" si="43"/>
        <v>2</v>
      </c>
      <c r="CD19" s="59">
        <f t="shared" ca="1" si="44"/>
        <v>13</v>
      </c>
      <c r="CE19" t="str">
        <f t="shared" ca="1" si="16"/>
        <v>Kenya</v>
      </c>
      <c r="CF19" s="60">
        <f t="shared" ca="1" si="17"/>
        <v>55.8</v>
      </c>
    </row>
    <row r="20" spans="1:84">
      <c r="A20">
        <v>14</v>
      </c>
      <c r="B20">
        <f ca="1">tblCountries!A16</f>
        <v>14</v>
      </c>
      <c r="C20" t="str">
        <f ca="1">tblCountries!C16</f>
        <v>DO</v>
      </c>
      <c r="D20" t="str">
        <f ca="1">tblCountries!B16</f>
        <v>Dominican Republic</v>
      </c>
      <c r="E20">
        <f ca="1">tblCountries!H16</f>
        <v>2</v>
      </c>
      <c r="G20">
        <f ca="1">tblCountries!I16</f>
        <v>2</v>
      </c>
      <c r="H20">
        <f t="shared" ca="1" si="6"/>
        <v>47</v>
      </c>
      <c r="K20" s="56">
        <f ca="1">IF($G20=0,"",RANK(H20,H$7:H$69)+COUNTIF(H$7:H20,H20)-1)</f>
        <v>22</v>
      </c>
      <c r="L20" s="57">
        <f t="shared" ca="1" si="18"/>
        <v>8</v>
      </c>
      <c r="M20" s="57">
        <f t="shared" ca="1" si="19"/>
        <v>14</v>
      </c>
      <c r="N20" s="57">
        <f t="shared" ca="1" si="20"/>
        <v>2</v>
      </c>
      <c r="O20" s="59">
        <f t="shared" ca="1" si="21"/>
        <v>14</v>
      </c>
      <c r="P20" t="str">
        <f t="shared" ca="1" si="22"/>
        <v>Cambodia</v>
      </c>
      <c r="Q20" s="60">
        <f t="shared" ca="1" si="23"/>
        <v>54.1</v>
      </c>
      <c r="AF20">
        <f t="shared" ca="1" si="0"/>
        <v>47</v>
      </c>
      <c r="AG20" s="56">
        <f ca="1">IF($E20&lt;0,"",RANK(AF20,AF$7:AF$61)+COUNTIF(AF$7:AF20,AF20)-1)</f>
        <v>22</v>
      </c>
      <c r="AH20" s="57">
        <f t="shared" ca="1" si="7"/>
        <v>8</v>
      </c>
      <c r="AI20" s="57">
        <f t="shared" ca="1" si="24"/>
        <v>14</v>
      </c>
      <c r="AJ20" s="57">
        <f t="shared" ca="1" si="45"/>
        <v>2</v>
      </c>
      <c r="AK20" s="59">
        <f t="shared" ca="1" si="46"/>
        <v>14</v>
      </c>
      <c r="AL20" t="str">
        <f t="shared" ca="1" si="47"/>
        <v>Cambodia</v>
      </c>
      <c r="AM20" s="60">
        <f t="shared" ca="1" si="48"/>
        <v>54.1</v>
      </c>
      <c r="AO20">
        <f t="shared" ca="1" si="1"/>
        <v>47</v>
      </c>
      <c r="AP20" s="56">
        <f ca="1">IF($G20=0,"",RANK(AO20,AO$7:AO$69)+COUNTIF(AO$7:AO20,AO20)-1)</f>
        <v>22</v>
      </c>
      <c r="AQ20" s="57">
        <f t="shared" ca="1" si="25"/>
        <v>8</v>
      </c>
      <c r="AR20" s="57">
        <f t="shared" ca="1" si="26"/>
        <v>14</v>
      </c>
      <c r="AS20" s="57">
        <f t="shared" ca="1" si="27"/>
        <v>2</v>
      </c>
      <c r="AT20" s="59">
        <f t="shared" ca="1" si="28"/>
        <v>14</v>
      </c>
      <c r="AU20" t="str">
        <f t="shared" ca="1" si="8"/>
        <v>Cambodia</v>
      </c>
      <c r="AV20" s="60">
        <f t="shared" ca="1" si="9"/>
        <v>54.1</v>
      </c>
      <c r="AX20">
        <f t="shared" ca="1" si="2"/>
        <v>50</v>
      </c>
      <c r="AY20" s="56">
        <f ca="1">IF($G20=0,"",RANK(AX20,AX$7:AX$69)+COUNTIF(AX$7:AX20,AX20)-1)</f>
        <v>31</v>
      </c>
      <c r="AZ20" s="57">
        <f t="shared" ca="1" si="29"/>
        <v>15</v>
      </c>
      <c r="BA20" s="57">
        <f t="shared" ca="1" si="30"/>
        <v>13</v>
      </c>
      <c r="BB20" s="57">
        <f t="shared" ca="1" si="31"/>
        <v>2</v>
      </c>
      <c r="BC20" s="59" t="str">
        <f t="shared" ca="1" si="32"/>
        <v>=13</v>
      </c>
      <c r="BD20" t="str">
        <f t="shared" ca="1" si="10"/>
        <v>DRC</v>
      </c>
      <c r="BE20" s="60">
        <f t="shared" ca="1" si="11"/>
        <v>62.5</v>
      </c>
      <c r="BG20">
        <f t="shared" ca="1" si="3"/>
        <v>35</v>
      </c>
      <c r="BH20" s="56">
        <f ca="1">IF($G20=0,"",RANK(BG20,BG$7:BG$69)+COUNTIF(BG$7:BG20,BG20)-1)</f>
        <v>41</v>
      </c>
      <c r="BI20" s="57">
        <f t="shared" ca="1" si="33"/>
        <v>24</v>
      </c>
      <c r="BJ20" s="57">
        <f t="shared" ca="1" si="34"/>
        <v>14</v>
      </c>
      <c r="BK20" s="57">
        <f t="shared" ca="1" si="35"/>
        <v>2</v>
      </c>
      <c r="BL20" s="59">
        <f t="shared" ca="1" si="36"/>
        <v>14</v>
      </c>
      <c r="BM20" t="str">
        <f t="shared" ca="1" si="12"/>
        <v>India</v>
      </c>
      <c r="BN20" s="60">
        <f t="shared" ca="1" si="13"/>
        <v>51.9</v>
      </c>
      <c r="BP20">
        <f t="shared" ca="1" si="4"/>
        <v>50</v>
      </c>
      <c r="BQ20" s="56">
        <f ca="1">IF($G20=0,"",RANK(BP20,BP$7:BP$69)+COUNTIF(BP$7:BP20,BP20)-1)</f>
        <v>11</v>
      </c>
      <c r="BR20" s="57">
        <f t="shared" ca="1" si="37"/>
        <v>4</v>
      </c>
      <c r="BS20" s="57">
        <f t="shared" ca="1" si="38"/>
        <v>14</v>
      </c>
      <c r="BT20" s="57">
        <f t="shared" ca="1" si="39"/>
        <v>2</v>
      </c>
      <c r="BU20" s="59" t="str">
        <f t="shared" ca="1" si="40"/>
        <v>=14</v>
      </c>
      <c r="BV20" t="str">
        <f t="shared" ca="1" si="14"/>
        <v>Bangladesh</v>
      </c>
      <c r="BW20" s="60">
        <f t="shared" ca="1" si="15"/>
        <v>41.7</v>
      </c>
      <c r="BY20">
        <f t="shared" ca="1" si="5"/>
        <v>47</v>
      </c>
      <c r="BZ20" s="56">
        <f ca="1">IF($G20=0,"",RANK(BY20,BY$7:BY$69)+COUNTIF(BY$7:BY20,BY20)-1)</f>
        <v>22</v>
      </c>
      <c r="CA20" s="57">
        <f t="shared" ca="1" si="41"/>
        <v>8</v>
      </c>
      <c r="CB20" s="57">
        <f t="shared" ca="1" si="42"/>
        <v>14</v>
      </c>
      <c r="CC20" s="57">
        <f t="shared" ca="1" si="43"/>
        <v>2</v>
      </c>
      <c r="CD20" s="59">
        <f t="shared" ca="1" si="44"/>
        <v>14</v>
      </c>
      <c r="CE20" t="str">
        <f t="shared" ca="1" si="16"/>
        <v>Cambodia</v>
      </c>
      <c r="CF20" s="60">
        <f t="shared" ca="1" si="17"/>
        <v>54.1</v>
      </c>
    </row>
    <row r="21" spans="1:84">
      <c r="A21">
        <v>15</v>
      </c>
      <c r="B21">
        <f ca="1">tblCountries!A17</f>
        <v>15</v>
      </c>
      <c r="C21" t="str">
        <f ca="1">tblCountries!C17</f>
        <v>ZR</v>
      </c>
      <c r="D21" t="str">
        <f ca="1">tblCountries!B17</f>
        <v>DRC</v>
      </c>
      <c r="E21">
        <f ca="1">tblCountries!H17</f>
        <v>2</v>
      </c>
      <c r="G21">
        <f ca="1">tblCountries!I17</f>
        <v>2</v>
      </c>
      <c r="H21">
        <f t="shared" ca="1" si="6"/>
        <v>36.799999999999997</v>
      </c>
      <c r="K21" s="56">
        <f ca="1">IF($G21=0,"",RANK(H21,H$7:H$69)+COUNTIF(H$7:H21,H21)-1)</f>
        <v>35</v>
      </c>
      <c r="L21" s="57">
        <f t="shared" ca="1" si="18"/>
        <v>21</v>
      </c>
      <c r="M21" s="57">
        <f t="shared" ca="1" si="19"/>
        <v>15</v>
      </c>
      <c r="N21" s="57">
        <f t="shared" ca="1" si="20"/>
        <v>2</v>
      </c>
      <c r="O21" s="59">
        <f t="shared" ca="1" si="21"/>
        <v>15</v>
      </c>
      <c r="P21" t="str">
        <f t="shared" ca="1" si="22"/>
        <v>Guatemala</v>
      </c>
      <c r="Q21" s="60">
        <f t="shared" ca="1" si="23"/>
        <v>51.8</v>
      </c>
      <c r="AF21">
        <f t="shared" ca="1" si="0"/>
        <v>36.799999999999997</v>
      </c>
      <c r="AG21" s="56">
        <f ca="1">IF($E21&lt;0,"",RANK(AF21,AF$7:AF$61)+COUNTIF(AF$7:AF21,AF21)-1)</f>
        <v>35</v>
      </c>
      <c r="AH21" s="57">
        <f t="shared" ca="1" si="7"/>
        <v>21</v>
      </c>
      <c r="AI21" s="57">
        <f t="shared" ca="1" si="24"/>
        <v>15</v>
      </c>
      <c r="AJ21" s="57">
        <f t="shared" ca="1" si="45"/>
        <v>2</v>
      </c>
      <c r="AK21" s="59">
        <f t="shared" ca="1" si="46"/>
        <v>15</v>
      </c>
      <c r="AL21" t="str">
        <f t="shared" ca="1" si="47"/>
        <v>Guatemala</v>
      </c>
      <c r="AM21" s="60">
        <f t="shared" ca="1" si="48"/>
        <v>51.8</v>
      </c>
      <c r="AO21">
        <f t="shared" ca="1" si="1"/>
        <v>36.799999999999997</v>
      </c>
      <c r="AP21" s="56">
        <f ca="1">IF($G21=0,"",RANK(AO21,AO$7:AO$69)+COUNTIF(AO$7:AO21,AO21)-1)</f>
        <v>35</v>
      </c>
      <c r="AQ21" s="57">
        <f t="shared" ca="1" si="25"/>
        <v>21</v>
      </c>
      <c r="AR21" s="57">
        <f t="shared" ca="1" si="26"/>
        <v>15</v>
      </c>
      <c r="AS21" s="57">
        <f t="shared" ca="1" si="27"/>
        <v>2</v>
      </c>
      <c r="AT21" s="59">
        <f t="shared" ca="1" si="28"/>
        <v>15</v>
      </c>
      <c r="AU21" t="str">
        <f t="shared" ca="1" si="8"/>
        <v>Guatemala</v>
      </c>
      <c r="AV21" s="60">
        <f t="shared" ca="1" si="9"/>
        <v>51.8</v>
      </c>
      <c r="AX21">
        <f t="shared" ca="1" si="2"/>
        <v>62.5</v>
      </c>
      <c r="AY21" s="56">
        <f ca="1">IF($G21=0,"",RANK(AX21,AX$7:AX$69)+COUNTIF(AX$7:AX21,AX21)-1)</f>
        <v>14</v>
      </c>
      <c r="AZ21" s="57">
        <f t="shared" ca="1" si="29"/>
        <v>17</v>
      </c>
      <c r="BA21" s="57">
        <f t="shared" ca="1" si="30"/>
        <v>13</v>
      </c>
      <c r="BB21" s="57">
        <f t="shared" ca="1" si="31"/>
        <v>2</v>
      </c>
      <c r="BC21" s="59" t="str">
        <f t="shared" ca="1" si="32"/>
        <v>=13</v>
      </c>
      <c r="BD21" t="str">
        <f t="shared" ca="1" si="10"/>
        <v>El Salvador</v>
      </c>
      <c r="BE21" s="60">
        <f t="shared" ca="1" si="11"/>
        <v>62.5</v>
      </c>
      <c r="BG21">
        <f t="shared" ca="1" si="3"/>
        <v>25.8</v>
      </c>
      <c r="BH21" s="56">
        <f ca="1">IF($G21=0,"",RANK(BG21,BG$7:BG$69)+COUNTIF(BG$7:BG21,BG21)-1)</f>
        <v>53</v>
      </c>
      <c r="BI21" s="57">
        <f t="shared" ca="1" si="33"/>
        <v>26</v>
      </c>
      <c r="BJ21" s="57">
        <f t="shared" ca="1" si="34"/>
        <v>15</v>
      </c>
      <c r="BK21" s="57">
        <f t="shared" ca="1" si="35"/>
        <v>2</v>
      </c>
      <c r="BL21" s="59">
        <f t="shared" ca="1" si="36"/>
        <v>15</v>
      </c>
      <c r="BM21" t="str">
        <f t="shared" ca="1" si="12"/>
        <v>Jamaica</v>
      </c>
      <c r="BN21" s="60">
        <f t="shared" ca="1" si="13"/>
        <v>51.7</v>
      </c>
      <c r="BP21">
        <f t="shared" ca="1" si="4"/>
        <v>16.7</v>
      </c>
      <c r="BQ21" s="56">
        <f ca="1">IF($G21=0,"",RANK(BP21,BP$7:BP$69)+COUNTIF(BP$7:BP21,BP21)-1)</f>
        <v>42</v>
      </c>
      <c r="BR21" s="57">
        <f t="shared" ca="1" si="37"/>
        <v>28</v>
      </c>
      <c r="BS21" s="57">
        <f t="shared" ca="1" si="38"/>
        <v>14</v>
      </c>
      <c r="BT21" s="57">
        <f t="shared" ca="1" si="39"/>
        <v>2</v>
      </c>
      <c r="BU21" s="59" t="str">
        <f t="shared" ca="1" si="40"/>
        <v>=14</v>
      </c>
      <c r="BV21" t="str">
        <f t="shared" ca="1" si="14"/>
        <v>Kyrgyzstan</v>
      </c>
      <c r="BW21" s="60">
        <f t="shared" ca="1" si="15"/>
        <v>41.7</v>
      </c>
      <c r="BY21">
        <f t="shared" ca="1" si="5"/>
        <v>36.799999999999997</v>
      </c>
      <c r="BZ21" s="56">
        <f ca="1">IF($G21=0,"",RANK(BY21,BY$7:BY$69)+COUNTIF(BY$7:BY21,BY21)-1)</f>
        <v>35</v>
      </c>
      <c r="CA21" s="57">
        <f t="shared" ca="1" si="41"/>
        <v>21</v>
      </c>
      <c r="CB21" s="57">
        <f t="shared" ca="1" si="42"/>
        <v>15</v>
      </c>
      <c r="CC21" s="57">
        <f t="shared" ca="1" si="43"/>
        <v>2</v>
      </c>
      <c r="CD21" s="59">
        <f t="shared" ca="1" si="44"/>
        <v>15</v>
      </c>
      <c r="CE21" t="str">
        <f t="shared" ca="1" si="16"/>
        <v>Guatemala</v>
      </c>
      <c r="CF21" s="60">
        <f t="shared" ca="1" si="17"/>
        <v>51.8</v>
      </c>
    </row>
    <row r="22" spans="1:84">
      <c r="A22">
        <v>16</v>
      </c>
      <c r="B22">
        <f ca="1">tblCountries!A18</f>
        <v>16</v>
      </c>
      <c r="C22" t="str">
        <f ca="1">tblCountries!C18</f>
        <v>EC</v>
      </c>
      <c r="D22" t="str">
        <f ca="1">tblCountries!B18</f>
        <v>Ecuador</v>
      </c>
      <c r="E22">
        <f ca="1">tblCountries!H18</f>
        <v>2</v>
      </c>
      <c r="G22">
        <f ca="1">tblCountries!I18</f>
        <v>2</v>
      </c>
      <c r="H22">
        <f t="shared" ca="1" si="6"/>
        <v>59.7</v>
      </c>
      <c r="K22" s="56">
        <f ca="1">IF($G22=0,"",RANK(H22,H$7:H$69)+COUNTIF(H$7:H22,H22)-1)</f>
        <v>6</v>
      </c>
      <c r="L22" s="57">
        <f t="shared" ca="1" si="18"/>
        <v>39</v>
      </c>
      <c r="M22" s="57">
        <f t="shared" ca="1" si="19"/>
        <v>16</v>
      </c>
      <c r="N22" s="57">
        <f t="shared" ca="1" si="20"/>
        <v>2</v>
      </c>
      <c r="O22" s="59">
        <f t="shared" ca="1" si="21"/>
        <v>16</v>
      </c>
      <c r="P22" t="str">
        <f t="shared" ca="1" si="22"/>
        <v>Panama</v>
      </c>
      <c r="Q22" s="60">
        <f t="shared" ca="1" si="23"/>
        <v>50.9</v>
      </c>
      <c r="AF22">
        <f t="shared" ca="1" si="0"/>
        <v>59.7</v>
      </c>
      <c r="AG22" s="56">
        <f ca="1">IF($E22&lt;0,"",RANK(AF22,AF$7:AF$61)+COUNTIF(AF$7:AF22,AF22)-1)</f>
        <v>6</v>
      </c>
      <c r="AH22" s="57">
        <f t="shared" ca="1" si="7"/>
        <v>39</v>
      </c>
      <c r="AI22" s="57">
        <f t="shared" ca="1" si="24"/>
        <v>16</v>
      </c>
      <c r="AJ22" s="57">
        <f t="shared" ca="1" si="45"/>
        <v>2</v>
      </c>
      <c r="AK22" s="59">
        <f t="shared" ca="1" si="46"/>
        <v>16</v>
      </c>
      <c r="AL22" t="str">
        <f t="shared" ca="1" si="47"/>
        <v>Panama</v>
      </c>
      <c r="AM22" s="60">
        <f t="shared" ca="1" si="48"/>
        <v>50.9</v>
      </c>
      <c r="AO22">
        <f t="shared" ca="1" si="1"/>
        <v>59.7</v>
      </c>
      <c r="AP22" s="56">
        <f ca="1">IF($G22=0,"",RANK(AO22,AO$7:AO$69)+COUNTIF(AO$7:AO22,AO22)-1)</f>
        <v>6</v>
      </c>
      <c r="AQ22" s="57">
        <f t="shared" ca="1" si="25"/>
        <v>39</v>
      </c>
      <c r="AR22" s="57">
        <f t="shared" ca="1" si="26"/>
        <v>16</v>
      </c>
      <c r="AS22" s="57">
        <f t="shared" ca="1" si="27"/>
        <v>2</v>
      </c>
      <c r="AT22" s="59">
        <f t="shared" ca="1" si="28"/>
        <v>16</v>
      </c>
      <c r="AU22" t="str">
        <f t="shared" ca="1" si="8"/>
        <v>Panama</v>
      </c>
      <c r="AV22" s="60">
        <f t="shared" ca="1" si="9"/>
        <v>50.9</v>
      </c>
      <c r="AX22">
        <f t="shared" ca="1" si="2"/>
        <v>68.8</v>
      </c>
      <c r="AY22" s="56">
        <f ca="1">IF($G22=0,"",RANK(AX22,AX$7:AX$69)+COUNTIF(AX$7:AX22,AX22)-1)</f>
        <v>10</v>
      </c>
      <c r="AZ22" s="57">
        <f t="shared" ca="1" si="29"/>
        <v>24</v>
      </c>
      <c r="BA22" s="57">
        <f t="shared" ca="1" si="30"/>
        <v>13</v>
      </c>
      <c r="BB22" s="57">
        <f t="shared" ca="1" si="31"/>
        <v>2</v>
      </c>
      <c r="BC22" s="59" t="str">
        <f t="shared" ca="1" si="32"/>
        <v>=13</v>
      </c>
      <c r="BD22" t="str">
        <f t="shared" ca="1" si="10"/>
        <v>India</v>
      </c>
      <c r="BE22" s="60">
        <f t="shared" ca="1" si="11"/>
        <v>62.5</v>
      </c>
      <c r="BG22">
        <f t="shared" ca="1" si="3"/>
        <v>27.5</v>
      </c>
      <c r="BH22" s="56">
        <f ca="1">IF($G22=0,"",RANK(BG22,BG$7:BG$69)+COUNTIF(BG$7:BG22,BG22)-1)</f>
        <v>52</v>
      </c>
      <c r="BI22" s="57">
        <f t="shared" ca="1" si="33"/>
        <v>12</v>
      </c>
      <c r="BJ22" s="57">
        <f t="shared" ca="1" si="34"/>
        <v>16</v>
      </c>
      <c r="BK22" s="57">
        <f t="shared" ca="1" si="35"/>
        <v>2</v>
      </c>
      <c r="BL22" s="59">
        <f t="shared" ca="1" si="36"/>
        <v>16</v>
      </c>
      <c r="BM22" t="str">
        <f t="shared" ca="1" si="12"/>
        <v>Colombia</v>
      </c>
      <c r="BN22" s="60">
        <f t="shared" ca="1" si="13"/>
        <v>51.4</v>
      </c>
      <c r="BP22">
        <f t="shared" ca="1" si="4"/>
        <v>66.7</v>
      </c>
      <c r="BQ22" s="56">
        <f ca="1">IF($G22=0,"",RANK(BP22,BP$7:BP$69)+COUNTIF(BP$7:BP22,BP22)-1)</f>
        <v>3</v>
      </c>
      <c r="BR22" s="57">
        <f t="shared" ca="1" si="37"/>
        <v>38</v>
      </c>
      <c r="BS22" s="57">
        <f t="shared" ca="1" si="38"/>
        <v>14</v>
      </c>
      <c r="BT22" s="57">
        <f t="shared" ca="1" si="39"/>
        <v>2</v>
      </c>
      <c r="BU22" s="59" t="str">
        <f t="shared" ca="1" si="40"/>
        <v>=14</v>
      </c>
      <c r="BV22" t="str">
        <f t="shared" ca="1" si="14"/>
        <v>Pakistan</v>
      </c>
      <c r="BW22" s="60">
        <f t="shared" ca="1" si="15"/>
        <v>41.7</v>
      </c>
      <c r="BY22">
        <f t="shared" ca="1" si="5"/>
        <v>59.7</v>
      </c>
      <c r="BZ22" s="56">
        <f ca="1">IF($G22=0,"",RANK(BY22,BY$7:BY$69)+COUNTIF(BY$7:BY22,BY22)-1)</f>
        <v>6</v>
      </c>
      <c r="CA22" s="57">
        <f t="shared" ca="1" si="41"/>
        <v>39</v>
      </c>
      <c r="CB22" s="57">
        <f t="shared" ca="1" si="42"/>
        <v>16</v>
      </c>
      <c r="CC22" s="57">
        <f t="shared" ca="1" si="43"/>
        <v>2</v>
      </c>
      <c r="CD22" s="59">
        <f t="shared" ca="1" si="44"/>
        <v>16</v>
      </c>
      <c r="CE22" t="str">
        <f t="shared" ca="1" si="16"/>
        <v>Panama</v>
      </c>
      <c r="CF22" s="60">
        <f t="shared" ca="1" si="17"/>
        <v>50.9</v>
      </c>
    </row>
    <row r="23" spans="1:84">
      <c r="A23">
        <v>17</v>
      </c>
      <c r="B23">
        <f ca="1">tblCountries!A19</f>
        <v>17</v>
      </c>
      <c r="C23" t="str">
        <f ca="1">tblCountries!C19</f>
        <v>SV</v>
      </c>
      <c r="D23" t="str">
        <f ca="1">tblCountries!B19</f>
        <v>El Salvador</v>
      </c>
      <c r="E23">
        <f ca="1">tblCountries!H19</f>
        <v>2</v>
      </c>
      <c r="G23">
        <f ca="1">tblCountries!I19</f>
        <v>2</v>
      </c>
      <c r="H23">
        <f t="shared" ca="1" si="6"/>
        <v>57.5</v>
      </c>
      <c r="K23" s="56">
        <f ca="1">IF($G23=0,"",RANK(H23,H$7:H$69)+COUNTIF(H$7:H23,H23)-1)</f>
        <v>9</v>
      </c>
      <c r="L23" s="57">
        <f t="shared" ca="1" si="18"/>
        <v>40</v>
      </c>
      <c r="M23" s="57">
        <f t="shared" ca="1" si="19"/>
        <v>17</v>
      </c>
      <c r="N23" s="57">
        <f t="shared" ca="1" si="20"/>
        <v>2</v>
      </c>
      <c r="O23" s="59">
        <f t="shared" ca="1" si="21"/>
        <v>17</v>
      </c>
      <c r="P23" t="str">
        <f t="shared" ca="1" si="22"/>
        <v>Paraguay</v>
      </c>
      <c r="Q23" s="60">
        <f t="shared" ca="1" si="23"/>
        <v>49.5</v>
      </c>
      <c r="AF23">
        <f t="shared" ca="1" si="0"/>
        <v>57.5</v>
      </c>
      <c r="AG23" s="56">
        <f ca="1">IF($E23&lt;0,"",RANK(AF23,AF$7:AF$61)+COUNTIF(AF$7:AF23,AF23)-1)</f>
        <v>9</v>
      </c>
      <c r="AH23" s="57">
        <f t="shared" ca="1" si="7"/>
        <v>40</v>
      </c>
      <c r="AI23" s="57">
        <f t="shared" ca="1" si="24"/>
        <v>17</v>
      </c>
      <c r="AJ23" s="57">
        <f t="shared" ca="1" si="45"/>
        <v>2</v>
      </c>
      <c r="AK23" s="59">
        <f t="shared" ca="1" si="46"/>
        <v>17</v>
      </c>
      <c r="AL23" t="str">
        <f t="shared" ca="1" si="47"/>
        <v>Paraguay</v>
      </c>
      <c r="AM23" s="60">
        <f t="shared" ca="1" si="48"/>
        <v>49.5</v>
      </c>
      <c r="AO23">
        <f t="shared" ca="1" si="1"/>
        <v>57.5</v>
      </c>
      <c r="AP23" s="56">
        <f ca="1">IF($G23=0,"",RANK(AO23,AO$7:AO$69)+COUNTIF(AO$7:AO23,AO23)-1)</f>
        <v>9</v>
      </c>
      <c r="AQ23" s="57">
        <f t="shared" ca="1" si="25"/>
        <v>40</v>
      </c>
      <c r="AR23" s="57">
        <f t="shared" ca="1" si="26"/>
        <v>17</v>
      </c>
      <c r="AS23" s="57">
        <f t="shared" ca="1" si="27"/>
        <v>2</v>
      </c>
      <c r="AT23" s="59">
        <f t="shared" ca="1" si="28"/>
        <v>17</v>
      </c>
      <c r="AU23" t="str">
        <f t="shared" ca="1" si="8"/>
        <v>Paraguay</v>
      </c>
      <c r="AV23" s="60">
        <f t="shared" ca="1" si="9"/>
        <v>49.5</v>
      </c>
      <c r="AX23">
        <f t="shared" ca="1" si="2"/>
        <v>62.5</v>
      </c>
      <c r="AY23" s="56">
        <f ca="1">IF($G23=0,"",RANK(AX23,AX$7:AX$69)+COUNTIF(AX$7:AX23,AX23)-1)</f>
        <v>15</v>
      </c>
      <c r="AZ23" s="57">
        <f t="shared" ca="1" si="29"/>
        <v>40</v>
      </c>
      <c r="BA23" s="57">
        <f t="shared" ca="1" si="30"/>
        <v>13</v>
      </c>
      <c r="BB23" s="57">
        <f t="shared" ca="1" si="31"/>
        <v>2</v>
      </c>
      <c r="BC23" s="59" t="str">
        <f t="shared" ca="1" si="32"/>
        <v>=13</v>
      </c>
      <c r="BD23" t="str">
        <f t="shared" ca="1" si="10"/>
        <v>Paraguay</v>
      </c>
      <c r="BE23" s="60">
        <f t="shared" ca="1" si="11"/>
        <v>62.5</v>
      </c>
      <c r="BG23">
        <f t="shared" ca="1" si="3"/>
        <v>45.8</v>
      </c>
      <c r="BH23" s="56">
        <f ca="1">IF($G23=0,"",RANK(BG23,BG$7:BG$69)+COUNTIF(BG$7:BG23,BG23)-1)</f>
        <v>23</v>
      </c>
      <c r="BI23" s="57">
        <f t="shared" ca="1" si="33"/>
        <v>42</v>
      </c>
      <c r="BJ23" s="57">
        <f t="shared" ca="1" si="34"/>
        <v>17</v>
      </c>
      <c r="BK23" s="57">
        <f t="shared" ca="1" si="35"/>
        <v>2</v>
      </c>
      <c r="BL23" s="59">
        <f t="shared" ca="1" si="36"/>
        <v>17</v>
      </c>
      <c r="BM23" t="str">
        <f t="shared" ca="1" si="12"/>
        <v>Philippines</v>
      </c>
      <c r="BN23" s="60">
        <f t="shared" ca="1" si="13"/>
        <v>50.6</v>
      </c>
      <c r="BP23">
        <f t="shared" ca="1" si="4"/>
        <v>58.3</v>
      </c>
      <c r="BQ23" s="56">
        <f ca="1">IF($G23=0,"",RANK(BP23,BP$7:BP$69)+COUNTIF(BP$7:BP23,BP23)-1)</f>
        <v>7</v>
      </c>
      <c r="BR23" s="57">
        <f t="shared" ca="1" si="37"/>
        <v>39</v>
      </c>
      <c r="BS23" s="57">
        <f t="shared" ca="1" si="38"/>
        <v>14</v>
      </c>
      <c r="BT23" s="57">
        <f t="shared" ca="1" si="39"/>
        <v>2</v>
      </c>
      <c r="BU23" s="59" t="str">
        <f t="shared" ca="1" si="40"/>
        <v>=14</v>
      </c>
      <c r="BV23" t="str">
        <f t="shared" ca="1" si="14"/>
        <v>Panama</v>
      </c>
      <c r="BW23" s="60">
        <f t="shared" ca="1" si="15"/>
        <v>41.7</v>
      </c>
      <c r="BY23">
        <f t="shared" ca="1" si="5"/>
        <v>57.5</v>
      </c>
      <c r="BZ23" s="56">
        <f ca="1">IF($G23=0,"",RANK(BY23,BY$7:BY$69)+COUNTIF(BY$7:BY23,BY23)-1)</f>
        <v>9</v>
      </c>
      <c r="CA23" s="57">
        <f t="shared" ca="1" si="41"/>
        <v>40</v>
      </c>
      <c r="CB23" s="57">
        <f t="shared" ca="1" si="42"/>
        <v>17</v>
      </c>
      <c r="CC23" s="57">
        <f t="shared" ca="1" si="43"/>
        <v>2</v>
      </c>
      <c r="CD23" s="59">
        <f t="shared" ca="1" si="44"/>
        <v>17</v>
      </c>
      <c r="CE23" t="str">
        <f t="shared" ca="1" si="16"/>
        <v>Paraguay</v>
      </c>
      <c r="CF23" s="60">
        <f t="shared" ca="1" si="17"/>
        <v>49.5</v>
      </c>
    </row>
    <row r="24" spans="1:84">
      <c r="A24">
        <v>18</v>
      </c>
      <c r="B24">
        <f ca="1">tblCountries!A20</f>
        <v>18</v>
      </c>
      <c r="C24" t="str">
        <f ca="1">tblCountries!C20</f>
        <v>ET</v>
      </c>
      <c r="D24" t="str">
        <f ca="1">tblCountries!B20</f>
        <v>Ethiopia</v>
      </c>
      <c r="E24">
        <f ca="1">tblCountries!H20</f>
        <v>2</v>
      </c>
      <c r="G24">
        <f ca="1">tblCountries!I20</f>
        <v>2</v>
      </c>
      <c r="H24">
        <f t="shared" ca="1" si="6"/>
        <v>31.3</v>
      </c>
      <c r="K24" s="56">
        <f ca="1">IF($G24=0,"",RANK(H24,H$7:H$69)+COUNTIF(H$7:H24,H24)-1)</f>
        <v>42</v>
      </c>
      <c r="L24" s="57">
        <f t="shared" ca="1" si="18"/>
        <v>23</v>
      </c>
      <c r="M24" s="57">
        <f t="shared" ca="1" si="19"/>
        <v>18</v>
      </c>
      <c r="N24" s="57">
        <f t="shared" ca="1" si="20"/>
        <v>2</v>
      </c>
      <c r="O24" s="59">
        <f t="shared" ca="1" si="21"/>
        <v>18</v>
      </c>
      <c r="P24" t="str">
        <f t="shared" ca="1" si="22"/>
        <v>Honduras</v>
      </c>
      <c r="Q24" s="60">
        <f t="shared" ca="1" si="23"/>
        <v>49.3</v>
      </c>
      <c r="AF24">
        <f t="shared" ca="1" si="0"/>
        <v>31.3</v>
      </c>
      <c r="AG24" s="56">
        <f ca="1">IF($E24&lt;0,"",RANK(AF24,AF$7:AF$61)+COUNTIF(AF$7:AF24,AF24)-1)</f>
        <v>42</v>
      </c>
      <c r="AH24" s="57">
        <f t="shared" ca="1" si="7"/>
        <v>23</v>
      </c>
      <c r="AI24" s="57">
        <f t="shared" ca="1" si="24"/>
        <v>18</v>
      </c>
      <c r="AJ24" s="57">
        <f t="shared" ca="1" si="45"/>
        <v>2</v>
      </c>
      <c r="AK24" s="59">
        <f t="shared" ca="1" si="46"/>
        <v>18</v>
      </c>
      <c r="AL24" t="str">
        <f t="shared" ca="1" si="47"/>
        <v>Honduras</v>
      </c>
      <c r="AM24" s="60">
        <f t="shared" ca="1" si="48"/>
        <v>49.3</v>
      </c>
      <c r="AO24">
        <f t="shared" ca="1" si="1"/>
        <v>31.3</v>
      </c>
      <c r="AP24" s="56">
        <f ca="1">IF($G24=0,"",RANK(AO24,AO$7:AO$69)+COUNTIF(AO$7:AO24,AO24)-1)</f>
        <v>42</v>
      </c>
      <c r="AQ24" s="57">
        <f t="shared" ca="1" si="25"/>
        <v>23</v>
      </c>
      <c r="AR24" s="57">
        <f t="shared" ca="1" si="26"/>
        <v>18</v>
      </c>
      <c r="AS24" s="57">
        <f t="shared" ca="1" si="27"/>
        <v>2</v>
      </c>
      <c r="AT24" s="59">
        <f t="shared" ca="1" si="28"/>
        <v>18</v>
      </c>
      <c r="AU24" t="str">
        <f t="shared" ca="1" si="8"/>
        <v>Honduras</v>
      </c>
      <c r="AV24" s="60">
        <f t="shared" ca="1" si="9"/>
        <v>49.3</v>
      </c>
      <c r="AX24">
        <f t="shared" ca="1" si="2"/>
        <v>43.8</v>
      </c>
      <c r="AY24" s="56">
        <f ca="1">IF($G24=0,"",RANK(AX24,AX$7:AX$69)+COUNTIF(AX$7:AX24,AX24)-1)</f>
        <v>38</v>
      </c>
      <c r="AZ24" s="57">
        <f t="shared" ca="1" si="29"/>
        <v>55</v>
      </c>
      <c r="BA24" s="57">
        <f t="shared" ca="1" si="30"/>
        <v>13</v>
      </c>
      <c r="BB24" s="57">
        <f t="shared" ca="1" si="31"/>
        <v>2</v>
      </c>
      <c r="BC24" s="59" t="str">
        <f t="shared" ca="1" si="32"/>
        <v>=13</v>
      </c>
      <c r="BD24" t="str">
        <f t="shared" ca="1" si="10"/>
        <v>Yemen</v>
      </c>
      <c r="BE24" s="60">
        <f t="shared" ca="1" si="11"/>
        <v>62.5</v>
      </c>
      <c r="BG24">
        <f t="shared" ca="1" si="3"/>
        <v>35.299999999999997</v>
      </c>
      <c r="BH24" s="56">
        <f ca="1">IF($G24=0,"",RANK(BG24,BG$7:BG$69)+COUNTIF(BG$7:BG24,BG24)-1)</f>
        <v>40</v>
      </c>
      <c r="BI24" s="57">
        <f t="shared" ca="1" si="33"/>
        <v>27</v>
      </c>
      <c r="BJ24" s="57">
        <f t="shared" ca="1" si="34"/>
        <v>18</v>
      </c>
      <c r="BK24" s="57">
        <f t="shared" ca="1" si="35"/>
        <v>2</v>
      </c>
      <c r="BL24" s="59">
        <f t="shared" ca="1" si="36"/>
        <v>18</v>
      </c>
      <c r="BM24" t="str">
        <f t="shared" ca="1" si="12"/>
        <v>Kenya</v>
      </c>
      <c r="BN24" s="60">
        <f t="shared" ca="1" si="13"/>
        <v>50</v>
      </c>
      <c r="BP24">
        <f t="shared" ca="1" si="4"/>
        <v>16.7</v>
      </c>
      <c r="BQ24" s="56">
        <f ca="1">IF($G24=0,"",RANK(BP24,BP$7:BP$69)+COUNTIF(BP$7:BP24,BP24)-1)</f>
        <v>43</v>
      </c>
      <c r="BR24" s="57">
        <f t="shared" ca="1" si="37"/>
        <v>40</v>
      </c>
      <c r="BS24" s="57">
        <f t="shared" ca="1" si="38"/>
        <v>14</v>
      </c>
      <c r="BT24" s="57">
        <f t="shared" ca="1" si="39"/>
        <v>2</v>
      </c>
      <c r="BU24" s="59" t="str">
        <f t="shared" ca="1" si="40"/>
        <v>=14</v>
      </c>
      <c r="BV24" t="str">
        <f t="shared" ca="1" si="14"/>
        <v>Paraguay</v>
      </c>
      <c r="BW24" s="60">
        <f t="shared" ca="1" si="15"/>
        <v>41.7</v>
      </c>
      <c r="BY24">
        <f t="shared" ca="1" si="5"/>
        <v>31.3</v>
      </c>
      <c r="BZ24" s="56">
        <f ca="1">IF($G24=0,"",RANK(BY24,BY$7:BY$69)+COUNTIF(BY$7:BY24,BY24)-1)</f>
        <v>42</v>
      </c>
      <c r="CA24" s="57">
        <f t="shared" ca="1" si="41"/>
        <v>23</v>
      </c>
      <c r="CB24" s="57">
        <f t="shared" ca="1" si="42"/>
        <v>18</v>
      </c>
      <c r="CC24" s="57">
        <f t="shared" ca="1" si="43"/>
        <v>2</v>
      </c>
      <c r="CD24" s="59">
        <f t="shared" ca="1" si="44"/>
        <v>18</v>
      </c>
      <c r="CE24" t="str">
        <f t="shared" ca="1" si="16"/>
        <v>Honduras</v>
      </c>
      <c r="CF24" s="60">
        <f t="shared" ca="1" si="17"/>
        <v>49.3</v>
      </c>
    </row>
    <row r="25" spans="1:84">
      <c r="A25">
        <v>19</v>
      </c>
      <c r="B25">
        <f ca="1">tblCountries!A21</f>
        <v>19</v>
      </c>
      <c r="C25" t="str">
        <f ca="1">tblCountries!C21</f>
        <v>GE</v>
      </c>
      <c r="D25" t="str">
        <f ca="1">tblCountries!B21</f>
        <v>Georgia</v>
      </c>
      <c r="E25">
        <f ca="1">tblCountries!H21</f>
        <v>2</v>
      </c>
      <c r="G25">
        <f ca="1">tblCountries!I21</f>
        <v>2</v>
      </c>
      <c r="H25">
        <f t="shared" ca="1" si="6"/>
        <v>45.1</v>
      </c>
      <c r="K25" s="56">
        <f ca="1">IF($G25=0,"",RANK(H25,H$7:H$69)+COUNTIF(H$7:H25,H25)-1)</f>
        <v>23</v>
      </c>
      <c r="L25" s="57">
        <f t="shared" ca="1" si="18"/>
        <v>47</v>
      </c>
      <c r="M25" s="57">
        <f t="shared" ca="1" si="19"/>
        <v>19</v>
      </c>
      <c r="N25" s="57">
        <f t="shared" ca="1" si="20"/>
        <v>2</v>
      </c>
      <c r="O25" s="59">
        <f t="shared" ca="1" si="21"/>
        <v>19</v>
      </c>
      <c r="P25" t="str">
        <f t="shared" ca="1" si="22"/>
        <v>Tanzania</v>
      </c>
      <c r="Q25" s="60">
        <f t="shared" ca="1" si="23"/>
        <v>48.4</v>
      </c>
      <c r="AF25">
        <f t="shared" ca="1" si="0"/>
        <v>45.1</v>
      </c>
      <c r="AG25" s="56">
        <f ca="1">IF($E25&lt;0,"",RANK(AF25,AF$7:AF$61)+COUNTIF(AF$7:AF25,AF25)-1)</f>
        <v>23</v>
      </c>
      <c r="AH25" s="57">
        <f t="shared" ca="1" si="7"/>
        <v>47</v>
      </c>
      <c r="AI25" s="57">
        <f t="shared" ca="1" si="24"/>
        <v>19</v>
      </c>
      <c r="AJ25" s="57">
        <f t="shared" ca="1" si="45"/>
        <v>2</v>
      </c>
      <c r="AK25" s="59">
        <f t="shared" ca="1" si="46"/>
        <v>19</v>
      </c>
      <c r="AL25" t="str">
        <f t="shared" ca="1" si="47"/>
        <v>Tanzania</v>
      </c>
      <c r="AM25" s="60">
        <f t="shared" ca="1" si="48"/>
        <v>48.4</v>
      </c>
      <c r="AO25">
        <f t="shared" ca="1" si="1"/>
        <v>45.1</v>
      </c>
      <c r="AP25" s="56">
        <f ca="1">IF($G25=0,"",RANK(AO25,AO$7:AO$69)+COUNTIF(AO$7:AO25,AO25)-1)</f>
        <v>23</v>
      </c>
      <c r="AQ25" s="57">
        <f t="shared" ca="1" si="25"/>
        <v>47</v>
      </c>
      <c r="AR25" s="57">
        <f t="shared" ca="1" si="26"/>
        <v>19</v>
      </c>
      <c r="AS25" s="57">
        <f t="shared" ca="1" si="27"/>
        <v>2</v>
      </c>
      <c r="AT25" s="59">
        <f t="shared" ca="1" si="28"/>
        <v>19</v>
      </c>
      <c r="AU25" t="str">
        <f t="shared" ca="1" si="8"/>
        <v>Tanzania</v>
      </c>
      <c r="AV25" s="60">
        <f t="shared" ca="1" si="9"/>
        <v>48.4</v>
      </c>
      <c r="AX25">
        <f t="shared" ca="1" si="2"/>
        <v>56.3</v>
      </c>
      <c r="AY25" s="56">
        <f ca="1">IF($G25=0,"",RANK(AX25,AX$7:AX$69)+COUNTIF(AX$7:AX25,AX25)-1)</f>
        <v>19</v>
      </c>
      <c r="AZ25" s="57">
        <f t="shared" ca="1" si="29"/>
        <v>19</v>
      </c>
      <c r="BA25" s="57">
        <f t="shared" ca="1" si="30"/>
        <v>19</v>
      </c>
      <c r="BB25" s="57">
        <f t="shared" ca="1" si="31"/>
        <v>2</v>
      </c>
      <c r="BC25" s="59" t="str">
        <f t="shared" ca="1" si="32"/>
        <v>=19</v>
      </c>
      <c r="BD25" t="str">
        <f t="shared" ca="1" si="10"/>
        <v>Georgia</v>
      </c>
      <c r="BE25" s="60">
        <f t="shared" ca="1" si="11"/>
        <v>56.3</v>
      </c>
      <c r="BG25">
        <f t="shared" ca="1" si="3"/>
        <v>46.1</v>
      </c>
      <c r="BH25" s="56">
        <f ca="1">IF($G25=0,"",RANK(BG25,BG$7:BG$69)+COUNTIF(BG$7:BG25,BG25)-1)</f>
        <v>22</v>
      </c>
      <c r="BI25" s="57">
        <f t="shared" ca="1" si="33"/>
        <v>38</v>
      </c>
      <c r="BJ25" s="57">
        <f t="shared" ca="1" si="34"/>
        <v>19</v>
      </c>
      <c r="BK25" s="57">
        <f t="shared" ca="1" si="35"/>
        <v>2</v>
      </c>
      <c r="BL25" s="59">
        <f t="shared" ca="1" si="36"/>
        <v>19</v>
      </c>
      <c r="BM25" t="str">
        <f t="shared" ca="1" si="12"/>
        <v>Pakistan</v>
      </c>
      <c r="BN25" s="60">
        <f t="shared" ca="1" si="13"/>
        <v>49.2</v>
      </c>
      <c r="BP25">
        <f t="shared" ca="1" si="4"/>
        <v>33.299999999999997</v>
      </c>
      <c r="BQ25" s="56">
        <f ca="1">IF($G25=0,"",RANK(BP25,BP$7:BP$69)+COUNTIF(BP$7:BP25,BP25)-1)</f>
        <v>25</v>
      </c>
      <c r="BR25" s="57">
        <f t="shared" ca="1" si="37"/>
        <v>51</v>
      </c>
      <c r="BS25" s="57">
        <f t="shared" ca="1" si="38"/>
        <v>14</v>
      </c>
      <c r="BT25" s="57">
        <f t="shared" ca="1" si="39"/>
        <v>2</v>
      </c>
      <c r="BU25" s="59" t="str">
        <f t="shared" ca="1" si="40"/>
        <v>=14</v>
      </c>
      <c r="BV25" t="str">
        <f t="shared" ca="1" si="14"/>
        <v>Uganda</v>
      </c>
      <c r="BW25" s="60">
        <f t="shared" ca="1" si="15"/>
        <v>41.7</v>
      </c>
      <c r="BY25">
        <f t="shared" ca="1" si="5"/>
        <v>45.1</v>
      </c>
      <c r="BZ25" s="56">
        <f ca="1">IF($G25=0,"",RANK(BY25,BY$7:BY$69)+COUNTIF(BY$7:BY25,BY25)-1)</f>
        <v>23</v>
      </c>
      <c r="CA25" s="57">
        <f t="shared" ca="1" si="41"/>
        <v>47</v>
      </c>
      <c r="CB25" s="57">
        <f t="shared" ca="1" si="42"/>
        <v>19</v>
      </c>
      <c r="CC25" s="57">
        <f t="shared" ca="1" si="43"/>
        <v>2</v>
      </c>
      <c r="CD25" s="59">
        <f t="shared" ca="1" si="44"/>
        <v>19</v>
      </c>
      <c r="CE25" t="str">
        <f t="shared" ca="1" si="16"/>
        <v>Tanzania</v>
      </c>
      <c r="CF25" s="60">
        <f t="shared" ca="1" si="17"/>
        <v>48.4</v>
      </c>
    </row>
    <row r="26" spans="1:84">
      <c r="A26">
        <v>20</v>
      </c>
      <c r="B26">
        <f ca="1">tblCountries!A22</f>
        <v>20</v>
      </c>
      <c r="C26" t="str">
        <f ca="1">tblCountries!C22</f>
        <v>GH</v>
      </c>
      <c r="D26" t="str">
        <f ca="1">tblCountries!B22</f>
        <v>Ghana</v>
      </c>
      <c r="E26">
        <f ca="1">tblCountries!H22</f>
        <v>2</v>
      </c>
      <c r="G26">
        <f ca="1">tblCountries!I22</f>
        <v>2</v>
      </c>
      <c r="H26">
        <f t="shared" ca="1" si="6"/>
        <v>60.9</v>
      </c>
      <c r="K26" s="56">
        <f ca="1">IF($G26=0,"",RANK(H26,H$7:H$69)+COUNTIF(H$7:H26,H26)-1)</f>
        <v>5</v>
      </c>
      <c r="L26" s="57">
        <f t="shared" ca="1" si="18"/>
        <v>10</v>
      </c>
      <c r="M26" s="57">
        <f t="shared" ca="1" si="19"/>
        <v>20</v>
      </c>
      <c r="N26" s="57">
        <f t="shared" ca="1" si="20"/>
        <v>2</v>
      </c>
      <c r="O26" s="59">
        <f t="shared" ca="1" si="21"/>
        <v>20</v>
      </c>
      <c r="P26" t="str">
        <f t="shared" ca="1" si="22"/>
        <v>Chile</v>
      </c>
      <c r="Q26" s="60">
        <f t="shared" ca="1" si="23"/>
        <v>48</v>
      </c>
      <c r="AF26">
        <f t="shared" ca="1" si="0"/>
        <v>60.9</v>
      </c>
      <c r="AG26" s="56">
        <f ca="1">IF($E26&lt;0,"",RANK(AF26,AF$7:AF$61)+COUNTIF(AF$7:AF26,AF26)-1)</f>
        <v>5</v>
      </c>
      <c r="AH26" s="57">
        <f t="shared" ca="1" si="7"/>
        <v>10</v>
      </c>
      <c r="AI26" s="57">
        <f t="shared" ca="1" si="24"/>
        <v>20</v>
      </c>
      <c r="AJ26" s="57">
        <f t="shared" ca="1" si="45"/>
        <v>2</v>
      </c>
      <c r="AK26" s="59">
        <f t="shared" ca="1" si="46"/>
        <v>20</v>
      </c>
      <c r="AL26" t="str">
        <f t="shared" ca="1" si="47"/>
        <v>Chile</v>
      </c>
      <c r="AM26" s="60">
        <f t="shared" ca="1" si="48"/>
        <v>48</v>
      </c>
      <c r="AO26">
        <f t="shared" ca="1" si="1"/>
        <v>60.9</v>
      </c>
      <c r="AP26" s="56">
        <f ca="1">IF($G26=0,"",RANK(AO26,AO$7:AO$69)+COUNTIF(AO$7:AO26,AO26)-1)</f>
        <v>5</v>
      </c>
      <c r="AQ26" s="57">
        <f t="shared" ca="1" si="25"/>
        <v>10</v>
      </c>
      <c r="AR26" s="57">
        <f t="shared" ca="1" si="26"/>
        <v>20</v>
      </c>
      <c r="AS26" s="57">
        <f t="shared" ca="1" si="27"/>
        <v>2</v>
      </c>
      <c r="AT26" s="59">
        <f t="shared" ca="1" si="28"/>
        <v>20</v>
      </c>
      <c r="AU26" t="str">
        <f t="shared" ca="1" si="8"/>
        <v>Chile</v>
      </c>
      <c r="AV26" s="60">
        <f t="shared" ca="1" si="9"/>
        <v>48</v>
      </c>
      <c r="AX26">
        <f t="shared" ca="1" si="2"/>
        <v>75</v>
      </c>
      <c r="AY26" s="56">
        <f ca="1">IF($G26=0,"",RANK(AX26,AX$7:AX$69)+COUNTIF(AX$7:AX26,AX26)-1)</f>
        <v>7</v>
      </c>
      <c r="AZ26" s="57">
        <f t="shared" ca="1" si="29"/>
        <v>31</v>
      </c>
      <c r="BA26" s="57">
        <f t="shared" ca="1" si="30"/>
        <v>19</v>
      </c>
      <c r="BB26" s="57">
        <f t="shared" ca="1" si="31"/>
        <v>2</v>
      </c>
      <c r="BC26" s="59" t="str">
        <f t="shared" ca="1" si="32"/>
        <v>=19</v>
      </c>
      <c r="BD26" t="str">
        <f t="shared" ca="1" si="10"/>
        <v>Mexico</v>
      </c>
      <c r="BE26" s="60">
        <f t="shared" ca="1" si="11"/>
        <v>56.3</v>
      </c>
      <c r="BG26">
        <f t="shared" ca="1" si="3"/>
        <v>54.4</v>
      </c>
      <c r="BH26" s="56">
        <f ca="1">IF($G26=0,"",RANK(BG26,BG$7:BG$69)+COUNTIF(BG$7:BG26,BG26)-1)</f>
        <v>10</v>
      </c>
      <c r="BI26" s="57">
        <f t="shared" ca="1" si="33"/>
        <v>36</v>
      </c>
      <c r="BJ26" s="57">
        <f t="shared" ca="1" si="34"/>
        <v>20</v>
      </c>
      <c r="BK26" s="57">
        <f t="shared" ca="1" si="35"/>
        <v>2</v>
      </c>
      <c r="BL26" s="59">
        <f t="shared" ca="1" si="36"/>
        <v>20</v>
      </c>
      <c r="BM26" t="str">
        <f t="shared" ca="1" si="12"/>
        <v>Nicaragua</v>
      </c>
      <c r="BN26" s="60">
        <f t="shared" ca="1" si="13"/>
        <v>47.5</v>
      </c>
      <c r="BP26">
        <f t="shared" ca="1" si="4"/>
        <v>50</v>
      </c>
      <c r="BQ26" s="56">
        <f ca="1">IF($G26=0,"",RANK(BP26,BP$7:BP$69)+COUNTIF(BP$7:BP26,BP26)-1)</f>
        <v>12</v>
      </c>
      <c r="BR26" s="57">
        <f t="shared" ca="1" si="37"/>
        <v>1</v>
      </c>
      <c r="BS26" s="57">
        <f t="shared" ca="1" si="38"/>
        <v>20</v>
      </c>
      <c r="BT26" s="57">
        <f t="shared" ca="1" si="39"/>
        <v>2</v>
      </c>
      <c r="BU26" s="59" t="str">
        <f t="shared" ca="1" si="40"/>
        <v>=20</v>
      </c>
      <c r="BV26" t="str">
        <f t="shared" ca="1" si="14"/>
        <v>Argentina</v>
      </c>
      <c r="BW26" s="60">
        <f t="shared" ca="1" si="15"/>
        <v>33.299999999999997</v>
      </c>
      <c r="BY26">
        <f t="shared" ca="1" si="5"/>
        <v>60.9</v>
      </c>
      <c r="BZ26" s="56">
        <f ca="1">IF($G26=0,"",RANK(BY26,BY$7:BY$69)+COUNTIF(BY$7:BY26,BY26)-1)</f>
        <v>5</v>
      </c>
      <c r="CA26" s="57">
        <f t="shared" ca="1" si="41"/>
        <v>10</v>
      </c>
      <c r="CB26" s="57">
        <f t="shared" ca="1" si="42"/>
        <v>20</v>
      </c>
      <c r="CC26" s="57">
        <f t="shared" ca="1" si="43"/>
        <v>2</v>
      </c>
      <c r="CD26" s="59">
        <f t="shared" ca="1" si="44"/>
        <v>20</v>
      </c>
      <c r="CE26" t="str">
        <f t="shared" ca="1" si="16"/>
        <v>Chile</v>
      </c>
      <c r="CF26" s="60">
        <f t="shared" ca="1" si="17"/>
        <v>48</v>
      </c>
    </row>
    <row r="27" spans="1:84">
      <c r="A27">
        <v>21</v>
      </c>
      <c r="B27">
        <f ca="1">tblCountries!A23</f>
        <v>21</v>
      </c>
      <c r="C27" t="str">
        <f ca="1">tblCountries!C23</f>
        <v>GT</v>
      </c>
      <c r="D27" t="str">
        <f ca="1">tblCountries!B23</f>
        <v>Guatemala</v>
      </c>
      <c r="E27">
        <f ca="1">tblCountries!H23</f>
        <v>2</v>
      </c>
      <c r="G27">
        <f ca="1">tblCountries!I23</f>
        <v>2</v>
      </c>
      <c r="H27">
        <f t="shared" ca="1" si="6"/>
        <v>51.8</v>
      </c>
      <c r="K27" s="56">
        <f ca="1">IF($G27=0,"",RANK(H27,H$7:H$69)+COUNTIF(H$7:H27,H27)-1)</f>
        <v>15</v>
      </c>
      <c r="L27" s="57">
        <f t="shared" ca="1" si="18"/>
        <v>31</v>
      </c>
      <c r="M27" s="57">
        <f t="shared" ca="1" si="19"/>
        <v>21</v>
      </c>
      <c r="N27" s="57">
        <f t="shared" ca="1" si="20"/>
        <v>2</v>
      </c>
      <c r="O27" s="59">
        <f t="shared" ca="1" si="21"/>
        <v>21</v>
      </c>
      <c r="P27" t="str">
        <f t="shared" ca="1" si="22"/>
        <v>Mexico</v>
      </c>
      <c r="Q27" s="60">
        <f t="shared" ca="1" si="23"/>
        <v>47.3</v>
      </c>
      <c r="AF27">
        <f t="shared" ca="1" si="0"/>
        <v>51.8</v>
      </c>
      <c r="AG27" s="56">
        <f ca="1">IF($E27&lt;0,"",RANK(AF27,AF$7:AF$61)+COUNTIF(AF$7:AF27,AF27)-1)</f>
        <v>15</v>
      </c>
      <c r="AH27" s="57">
        <f t="shared" ca="1" si="7"/>
        <v>31</v>
      </c>
      <c r="AI27" s="57">
        <f t="shared" ca="1" si="24"/>
        <v>21</v>
      </c>
      <c r="AJ27" s="57">
        <f t="shared" ca="1" si="45"/>
        <v>2</v>
      </c>
      <c r="AK27" s="59">
        <f t="shared" ca="1" si="46"/>
        <v>21</v>
      </c>
      <c r="AL27" t="str">
        <f t="shared" ca="1" si="47"/>
        <v>Mexico</v>
      </c>
      <c r="AM27" s="60">
        <f t="shared" ca="1" si="48"/>
        <v>47.3</v>
      </c>
      <c r="AO27">
        <f t="shared" ca="1" si="1"/>
        <v>51.8</v>
      </c>
      <c r="AP27" s="56">
        <f ca="1">IF($G27=0,"",RANK(AO27,AO$7:AO$69)+COUNTIF(AO$7:AO27,AO27)-1)</f>
        <v>15</v>
      </c>
      <c r="AQ27" s="57">
        <f t="shared" ca="1" si="25"/>
        <v>31</v>
      </c>
      <c r="AR27" s="57">
        <f t="shared" ca="1" si="26"/>
        <v>21</v>
      </c>
      <c r="AS27" s="57">
        <f t="shared" ca="1" si="27"/>
        <v>2</v>
      </c>
      <c r="AT27" s="59">
        <f t="shared" ca="1" si="28"/>
        <v>21</v>
      </c>
      <c r="AU27" t="str">
        <f t="shared" ca="1" si="8"/>
        <v>Mexico</v>
      </c>
      <c r="AV27" s="60">
        <f t="shared" ca="1" si="9"/>
        <v>47.3</v>
      </c>
      <c r="AX27">
        <f t="shared" ca="1" si="2"/>
        <v>50</v>
      </c>
      <c r="AY27" s="56">
        <f ca="1">IF($G27=0,"",RANK(AX27,AX$7:AX$69)+COUNTIF(AX$7:AX27,AX27)-1)</f>
        <v>32</v>
      </c>
      <c r="AZ27" s="57">
        <f t="shared" ca="1" si="29"/>
        <v>34</v>
      </c>
      <c r="BA27" s="57">
        <f t="shared" ca="1" si="30"/>
        <v>19</v>
      </c>
      <c r="BB27" s="57">
        <f t="shared" ca="1" si="31"/>
        <v>2</v>
      </c>
      <c r="BC27" s="59" t="str">
        <f t="shared" ca="1" si="32"/>
        <v>=19</v>
      </c>
      <c r="BD27" t="str">
        <f t="shared" ca="1" si="10"/>
        <v>Mozambique</v>
      </c>
      <c r="BE27" s="60">
        <f t="shared" ca="1" si="11"/>
        <v>56.3</v>
      </c>
      <c r="BG27">
        <f t="shared" ca="1" si="3"/>
        <v>42.5</v>
      </c>
      <c r="BH27" s="56">
        <f ca="1">IF($G27=0,"",RANK(BG27,BG$7:BG$69)+COUNTIF(BG$7:BG27,BG27)-1)</f>
        <v>28</v>
      </c>
      <c r="BI27" s="57">
        <f t="shared" ca="1" si="33"/>
        <v>5</v>
      </c>
      <c r="BJ27" s="57">
        <f t="shared" ca="1" si="34"/>
        <v>21</v>
      </c>
      <c r="BK27" s="57">
        <f t="shared" ca="1" si="35"/>
        <v>2</v>
      </c>
      <c r="BL27" s="59" t="str">
        <f t="shared" ca="1" si="36"/>
        <v>=21</v>
      </c>
      <c r="BM27" t="str">
        <f t="shared" ca="1" si="12"/>
        <v>Bolivia</v>
      </c>
      <c r="BN27" s="60">
        <f t="shared" ca="1" si="13"/>
        <v>46.1</v>
      </c>
      <c r="BP27">
        <f t="shared" ca="1" si="4"/>
        <v>58.3</v>
      </c>
      <c r="BQ27" s="56">
        <f ca="1">IF($G27=0,"",RANK(BP27,BP$7:BP$69)+COUNTIF(BP$7:BP27,BP27)-1)</f>
        <v>8</v>
      </c>
      <c r="BR27" s="57">
        <f t="shared" ca="1" si="37"/>
        <v>2</v>
      </c>
      <c r="BS27" s="57">
        <f t="shared" ca="1" si="38"/>
        <v>20</v>
      </c>
      <c r="BT27" s="57">
        <f t="shared" ca="1" si="39"/>
        <v>2</v>
      </c>
      <c r="BU27" s="59" t="str">
        <f t="shared" ca="1" si="40"/>
        <v>=20</v>
      </c>
      <c r="BV27" t="str">
        <f t="shared" ca="1" si="14"/>
        <v>Armenia</v>
      </c>
      <c r="BW27" s="60">
        <f t="shared" ca="1" si="15"/>
        <v>33.299999999999997</v>
      </c>
      <c r="BY27">
        <f t="shared" ca="1" si="5"/>
        <v>51.8</v>
      </c>
      <c r="BZ27" s="56">
        <f ca="1">IF($G27=0,"",RANK(BY27,BY$7:BY$69)+COUNTIF(BY$7:BY27,BY27)-1)</f>
        <v>15</v>
      </c>
      <c r="CA27" s="57">
        <f t="shared" ca="1" si="41"/>
        <v>31</v>
      </c>
      <c r="CB27" s="57">
        <f t="shared" ca="1" si="42"/>
        <v>21</v>
      </c>
      <c r="CC27" s="57">
        <f t="shared" ca="1" si="43"/>
        <v>2</v>
      </c>
      <c r="CD27" s="59">
        <f t="shared" ca="1" si="44"/>
        <v>21</v>
      </c>
      <c r="CE27" t="str">
        <f t="shared" ca="1" si="16"/>
        <v>Mexico</v>
      </c>
      <c r="CF27" s="60">
        <f t="shared" ca="1" si="17"/>
        <v>47.3</v>
      </c>
    </row>
    <row r="28" spans="1:84">
      <c r="A28">
        <v>22</v>
      </c>
      <c r="B28">
        <f ca="1">tblCountries!A24</f>
        <v>22</v>
      </c>
      <c r="C28" t="str">
        <f ca="1">tblCountries!C24</f>
        <v>HT</v>
      </c>
      <c r="D28" t="str">
        <f ca="1">tblCountries!B24</f>
        <v>Haiti</v>
      </c>
      <c r="E28">
        <f ca="1">tblCountries!H24</f>
        <v>2</v>
      </c>
      <c r="G28">
        <f ca="1">tblCountries!I24</f>
        <v>2</v>
      </c>
      <c r="H28">
        <f t="shared" ca="1" si="6"/>
        <v>33.4</v>
      </c>
      <c r="K28" s="56">
        <f ca="1">IF($G28=0,"",RANK(H28,H$7:H$69)+COUNTIF(H$7:H28,H28)-1)</f>
        <v>38</v>
      </c>
      <c r="L28" s="57">
        <f t="shared" ca="1" si="18"/>
        <v>14</v>
      </c>
      <c r="M28" s="57">
        <f t="shared" ca="1" si="19"/>
        <v>22</v>
      </c>
      <c r="N28" s="57">
        <f t="shared" ca="1" si="20"/>
        <v>2</v>
      </c>
      <c r="O28" s="59">
        <f t="shared" ca="1" si="21"/>
        <v>22</v>
      </c>
      <c r="P28" t="str">
        <f t="shared" ca="1" si="22"/>
        <v>Dominican Republic</v>
      </c>
      <c r="Q28" s="60">
        <f t="shared" ca="1" si="23"/>
        <v>47</v>
      </c>
      <c r="AF28">
        <f t="shared" ca="1" si="0"/>
        <v>33.4</v>
      </c>
      <c r="AG28" s="56">
        <f ca="1">IF($E28&lt;0,"",RANK(AF28,AF$7:AF$61)+COUNTIF(AF$7:AF28,AF28)-1)</f>
        <v>38</v>
      </c>
      <c r="AH28" s="57">
        <f t="shared" ca="1" si="7"/>
        <v>14</v>
      </c>
      <c r="AI28" s="57">
        <f t="shared" ca="1" si="24"/>
        <v>22</v>
      </c>
      <c r="AJ28" s="57">
        <f t="shared" ca="1" si="45"/>
        <v>2</v>
      </c>
      <c r="AK28" s="59">
        <f t="shared" ca="1" si="46"/>
        <v>22</v>
      </c>
      <c r="AL28" t="str">
        <f t="shared" ca="1" si="47"/>
        <v>Dominican Republic</v>
      </c>
      <c r="AM28" s="60">
        <f t="shared" ca="1" si="48"/>
        <v>47</v>
      </c>
      <c r="AO28">
        <f t="shared" ca="1" si="1"/>
        <v>33.4</v>
      </c>
      <c r="AP28" s="56">
        <f ca="1">IF($G28=0,"",RANK(AO28,AO$7:AO$69)+COUNTIF(AO$7:AO28,AO28)-1)</f>
        <v>38</v>
      </c>
      <c r="AQ28" s="57">
        <f t="shared" ca="1" si="25"/>
        <v>14</v>
      </c>
      <c r="AR28" s="57">
        <f t="shared" ca="1" si="26"/>
        <v>22</v>
      </c>
      <c r="AS28" s="57">
        <f t="shared" ca="1" si="27"/>
        <v>2</v>
      </c>
      <c r="AT28" s="59">
        <f t="shared" ca="1" si="28"/>
        <v>22</v>
      </c>
      <c r="AU28" t="str">
        <f t="shared" ca="1" si="8"/>
        <v>Dominican Republic</v>
      </c>
      <c r="AV28" s="60">
        <f t="shared" ca="1" si="9"/>
        <v>47</v>
      </c>
      <c r="AX28">
        <f t="shared" ca="1" si="2"/>
        <v>43.8</v>
      </c>
      <c r="AY28" s="56">
        <f ca="1">IF($G28=0,"",RANK(AX28,AX$7:AX$69)+COUNTIF(AX$7:AX28,AX28)-1)</f>
        <v>39</v>
      </c>
      <c r="AZ28" s="57">
        <f t="shared" ca="1" si="29"/>
        <v>36</v>
      </c>
      <c r="BA28" s="57">
        <f t="shared" ca="1" si="30"/>
        <v>19</v>
      </c>
      <c r="BB28" s="57">
        <f t="shared" ca="1" si="31"/>
        <v>2</v>
      </c>
      <c r="BC28" s="59" t="str">
        <f t="shared" ca="1" si="32"/>
        <v>=19</v>
      </c>
      <c r="BD28" t="str">
        <f t="shared" ca="1" si="10"/>
        <v>Nicaragua</v>
      </c>
      <c r="BE28" s="60">
        <f t="shared" ca="1" si="11"/>
        <v>56.3</v>
      </c>
      <c r="BG28">
        <f t="shared" ca="1" si="3"/>
        <v>29.4</v>
      </c>
      <c r="BH28" s="56">
        <f ca="1">IF($G28=0,"",RANK(BG28,BG$7:BG$69)+COUNTIF(BG$7:BG28,BG28)-1)</f>
        <v>49</v>
      </c>
      <c r="BI28" s="57">
        <f t="shared" ca="1" si="33"/>
        <v>19</v>
      </c>
      <c r="BJ28" s="57">
        <f t="shared" ca="1" si="34"/>
        <v>21</v>
      </c>
      <c r="BK28" s="57">
        <f t="shared" ca="1" si="35"/>
        <v>2</v>
      </c>
      <c r="BL28" s="59" t="str">
        <f t="shared" ca="1" si="36"/>
        <v>=21</v>
      </c>
      <c r="BM28" t="str">
        <f t="shared" ca="1" si="12"/>
        <v>Georgia</v>
      </c>
      <c r="BN28" s="60">
        <f t="shared" ca="1" si="13"/>
        <v>46.1</v>
      </c>
      <c r="BP28">
        <f t="shared" ca="1" si="4"/>
        <v>25</v>
      </c>
      <c r="BQ28" s="56">
        <f ca="1">IF($G28=0,"",RANK(BP28,BP$7:BP$69)+COUNTIF(BP$7:BP28,BP28)-1)</f>
        <v>33</v>
      </c>
      <c r="BR28" s="57">
        <f t="shared" ca="1" si="37"/>
        <v>7</v>
      </c>
      <c r="BS28" s="57">
        <f t="shared" ca="1" si="38"/>
        <v>20</v>
      </c>
      <c r="BT28" s="57">
        <f t="shared" ca="1" si="39"/>
        <v>2</v>
      </c>
      <c r="BU28" s="59" t="str">
        <f t="shared" ca="1" si="40"/>
        <v>=20</v>
      </c>
      <c r="BV28" t="str">
        <f t="shared" ca="1" si="14"/>
        <v>Brazil</v>
      </c>
      <c r="BW28" s="60">
        <f t="shared" ca="1" si="15"/>
        <v>33.299999999999997</v>
      </c>
      <c r="BY28">
        <f t="shared" ca="1" si="5"/>
        <v>33.4</v>
      </c>
      <c r="BZ28" s="56">
        <f ca="1">IF($G28=0,"",RANK(BY28,BY$7:BY$69)+COUNTIF(BY$7:BY28,BY28)-1)</f>
        <v>38</v>
      </c>
      <c r="CA28" s="57">
        <f t="shared" ca="1" si="41"/>
        <v>14</v>
      </c>
      <c r="CB28" s="57">
        <f t="shared" ca="1" si="42"/>
        <v>22</v>
      </c>
      <c r="CC28" s="57">
        <f t="shared" ca="1" si="43"/>
        <v>2</v>
      </c>
      <c r="CD28" s="59">
        <f t="shared" ca="1" si="44"/>
        <v>22</v>
      </c>
      <c r="CE28" t="str">
        <f t="shared" ca="1" si="16"/>
        <v>Dominican Republic</v>
      </c>
      <c r="CF28" s="60">
        <f t="shared" ca="1" si="17"/>
        <v>47</v>
      </c>
    </row>
    <row r="29" spans="1:84">
      <c r="A29">
        <v>23</v>
      </c>
      <c r="B29">
        <f ca="1">tblCountries!A25</f>
        <v>23</v>
      </c>
      <c r="C29" t="str">
        <f ca="1">tblCountries!C25</f>
        <v>HN</v>
      </c>
      <c r="D29" t="str">
        <f ca="1">tblCountries!B25</f>
        <v>Honduras</v>
      </c>
      <c r="E29">
        <f ca="1">tblCountries!H25</f>
        <v>2</v>
      </c>
      <c r="G29">
        <f ca="1">tblCountries!I25</f>
        <v>2</v>
      </c>
      <c r="H29">
        <f t="shared" ca="1" si="6"/>
        <v>49.3</v>
      </c>
      <c r="K29" s="56">
        <f ca="1">IF($G29=0,"",RANK(H29,H$7:H$69)+COUNTIF(H$7:H29,H29)-1)</f>
        <v>18</v>
      </c>
      <c r="L29" s="57">
        <f t="shared" ca="1" si="18"/>
        <v>19</v>
      </c>
      <c r="M29" s="57">
        <f t="shared" ca="1" si="19"/>
        <v>23</v>
      </c>
      <c r="N29" s="57">
        <f t="shared" ca="1" si="20"/>
        <v>2</v>
      </c>
      <c r="O29" s="59">
        <f t="shared" ca="1" si="21"/>
        <v>23</v>
      </c>
      <c r="P29" t="str">
        <f t="shared" ca="1" si="22"/>
        <v>Georgia</v>
      </c>
      <c r="Q29" s="60">
        <f t="shared" ca="1" si="23"/>
        <v>45.1</v>
      </c>
      <c r="AF29">
        <f t="shared" ca="1" si="0"/>
        <v>49.3</v>
      </c>
      <c r="AG29" s="56">
        <f ca="1">IF($E29&lt;0,"",RANK(AF29,AF$7:AF$61)+COUNTIF(AF$7:AF29,AF29)-1)</f>
        <v>18</v>
      </c>
      <c r="AH29" s="57">
        <f t="shared" ca="1" si="7"/>
        <v>19</v>
      </c>
      <c r="AI29" s="57">
        <f t="shared" ca="1" si="24"/>
        <v>23</v>
      </c>
      <c r="AJ29" s="57">
        <f t="shared" ca="1" si="45"/>
        <v>2</v>
      </c>
      <c r="AK29" s="59">
        <f t="shared" ca="1" si="46"/>
        <v>23</v>
      </c>
      <c r="AL29" t="str">
        <f t="shared" ca="1" si="47"/>
        <v>Georgia</v>
      </c>
      <c r="AM29" s="60">
        <f t="shared" ca="1" si="48"/>
        <v>45.1</v>
      </c>
      <c r="AO29">
        <f t="shared" ca="1" si="1"/>
        <v>49.3</v>
      </c>
      <c r="AP29" s="56">
        <f ca="1">IF($G29=0,"",RANK(AO29,AO$7:AO$69)+COUNTIF(AO$7:AO29,AO29)-1)</f>
        <v>18</v>
      </c>
      <c r="AQ29" s="57">
        <f t="shared" ca="1" si="25"/>
        <v>19</v>
      </c>
      <c r="AR29" s="57">
        <f t="shared" ca="1" si="26"/>
        <v>23</v>
      </c>
      <c r="AS29" s="57">
        <f t="shared" ca="1" si="27"/>
        <v>2</v>
      </c>
      <c r="AT29" s="59">
        <f t="shared" ca="1" si="28"/>
        <v>23</v>
      </c>
      <c r="AU29" t="str">
        <f t="shared" ca="1" si="8"/>
        <v>Georgia</v>
      </c>
      <c r="AV29" s="60">
        <f t="shared" ca="1" si="9"/>
        <v>45.1</v>
      </c>
      <c r="AX29">
        <f t="shared" ca="1" si="2"/>
        <v>50</v>
      </c>
      <c r="AY29" s="56">
        <f ca="1">IF($G29=0,"",RANK(AX29,AX$7:AX$69)+COUNTIF(AX$7:AX29,AX29)-1)</f>
        <v>33</v>
      </c>
      <c r="AZ29" s="57">
        <f t="shared" ca="1" si="29"/>
        <v>37</v>
      </c>
      <c r="BA29" s="57">
        <f t="shared" ca="1" si="30"/>
        <v>19</v>
      </c>
      <c r="BB29" s="57">
        <f t="shared" ca="1" si="31"/>
        <v>2</v>
      </c>
      <c r="BC29" s="59" t="str">
        <f t="shared" ca="1" si="32"/>
        <v>=19</v>
      </c>
      <c r="BD29" t="str">
        <f t="shared" ca="1" si="10"/>
        <v>Nigeria</v>
      </c>
      <c r="BE29" s="60">
        <f t="shared" ca="1" si="11"/>
        <v>56.3</v>
      </c>
      <c r="BG29">
        <f t="shared" ca="1" si="3"/>
        <v>29.7</v>
      </c>
      <c r="BH29" s="56">
        <f ca="1">IF($G29=0,"",RANK(BG29,BG$7:BG$69)+COUNTIF(BG$7:BG29,BG29)-1)</f>
        <v>48</v>
      </c>
      <c r="BI29" s="57">
        <f t="shared" ca="1" si="33"/>
        <v>17</v>
      </c>
      <c r="BJ29" s="57">
        <f t="shared" ca="1" si="34"/>
        <v>23</v>
      </c>
      <c r="BK29" s="57">
        <f t="shared" ca="1" si="35"/>
        <v>2</v>
      </c>
      <c r="BL29" s="59" t="str">
        <f t="shared" ca="1" si="36"/>
        <v>=23</v>
      </c>
      <c r="BM29" t="str">
        <f t="shared" ca="1" si="12"/>
        <v>El Salvador</v>
      </c>
      <c r="BN29" s="60">
        <f t="shared" ca="1" si="13"/>
        <v>45.8</v>
      </c>
      <c r="BP29">
        <f t="shared" ca="1" si="4"/>
        <v>58.3</v>
      </c>
      <c r="BQ29" s="56">
        <f ca="1">IF($G29=0,"",RANK(BP29,BP$7:BP$69)+COUNTIF(BP$7:BP29,BP29)-1)</f>
        <v>9</v>
      </c>
      <c r="BR29" s="57">
        <f t="shared" ca="1" si="37"/>
        <v>10</v>
      </c>
      <c r="BS29" s="57">
        <f t="shared" ca="1" si="38"/>
        <v>20</v>
      </c>
      <c r="BT29" s="57">
        <f t="shared" ca="1" si="39"/>
        <v>2</v>
      </c>
      <c r="BU29" s="59" t="str">
        <f t="shared" ca="1" si="40"/>
        <v>=20</v>
      </c>
      <c r="BV29" t="str">
        <f t="shared" ca="1" si="14"/>
        <v>Chile</v>
      </c>
      <c r="BW29" s="60">
        <f t="shared" ca="1" si="15"/>
        <v>33.299999999999997</v>
      </c>
      <c r="BY29">
        <f t="shared" ca="1" si="5"/>
        <v>49.3</v>
      </c>
      <c r="BZ29" s="56">
        <f ca="1">IF($G29=0,"",RANK(BY29,BY$7:BY$69)+COUNTIF(BY$7:BY29,BY29)-1)</f>
        <v>18</v>
      </c>
      <c r="CA29" s="57">
        <f t="shared" ca="1" si="41"/>
        <v>19</v>
      </c>
      <c r="CB29" s="57">
        <f t="shared" ca="1" si="42"/>
        <v>23</v>
      </c>
      <c r="CC29" s="57">
        <f t="shared" ca="1" si="43"/>
        <v>2</v>
      </c>
      <c r="CD29" s="59">
        <f t="shared" ca="1" si="44"/>
        <v>23</v>
      </c>
      <c r="CE29" t="str">
        <f t="shared" ca="1" si="16"/>
        <v>Georgia</v>
      </c>
      <c r="CF29" s="60">
        <f t="shared" ca="1" si="17"/>
        <v>45.1</v>
      </c>
    </row>
    <row r="30" spans="1:84">
      <c r="A30">
        <v>24</v>
      </c>
      <c r="B30">
        <f ca="1">tblCountries!A26</f>
        <v>24</v>
      </c>
      <c r="C30" t="str">
        <f ca="1">tblCountries!C26</f>
        <v>IN</v>
      </c>
      <c r="D30" t="str">
        <f ca="1">tblCountries!B26</f>
        <v>India</v>
      </c>
      <c r="E30">
        <f ca="1">tblCountries!H26</f>
        <v>2</v>
      </c>
      <c r="G30">
        <f ca="1">tblCountries!I26</f>
        <v>2</v>
      </c>
      <c r="H30">
        <f t="shared" ca="1" si="6"/>
        <v>62.1</v>
      </c>
      <c r="K30" s="56">
        <f ca="1">IF($G30=0,"",RANK(H30,H$7:H$69)+COUNTIF(H$7:H30,H30)-1)</f>
        <v>4</v>
      </c>
      <c r="L30" s="57">
        <f t="shared" ca="1" si="18"/>
        <v>7</v>
      </c>
      <c r="M30" s="57">
        <f t="shared" ca="1" si="19"/>
        <v>24</v>
      </c>
      <c r="N30" s="57">
        <f t="shared" ca="1" si="20"/>
        <v>2</v>
      </c>
      <c r="O30" s="59">
        <f t="shared" ca="1" si="21"/>
        <v>24</v>
      </c>
      <c r="P30" t="str">
        <f t="shared" ca="1" si="22"/>
        <v>Brazil</v>
      </c>
      <c r="Q30" s="60">
        <f t="shared" ca="1" si="23"/>
        <v>44</v>
      </c>
      <c r="AF30">
        <f t="shared" ca="1" si="0"/>
        <v>62.1</v>
      </c>
      <c r="AG30" s="56">
        <f ca="1">IF($E30&lt;0,"",RANK(AF30,AF$7:AF$61)+COUNTIF(AF$7:AF30,AF30)-1)</f>
        <v>4</v>
      </c>
      <c r="AH30" s="57">
        <f t="shared" ca="1" si="7"/>
        <v>7</v>
      </c>
      <c r="AI30" s="57">
        <f t="shared" ca="1" si="24"/>
        <v>24</v>
      </c>
      <c r="AJ30" s="57">
        <f t="shared" ca="1" si="45"/>
        <v>2</v>
      </c>
      <c r="AK30" s="59">
        <f t="shared" ca="1" si="46"/>
        <v>24</v>
      </c>
      <c r="AL30" t="str">
        <f t="shared" ca="1" si="47"/>
        <v>Brazil</v>
      </c>
      <c r="AM30" s="60">
        <f t="shared" ca="1" si="48"/>
        <v>44</v>
      </c>
      <c r="AO30">
        <f t="shared" ca="1" si="1"/>
        <v>62.1</v>
      </c>
      <c r="AP30" s="56">
        <f ca="1">IF($G30=0,"",RANK(AO30,AO$7:AO$69)+COUNTIF(AO$7:AO30,AO30)-1)</f>
        <v>4</v>
      </c>
      <c r="AQ30" s="57">
        <f t="shared" ca="1" si="25"/>
        <v>7</v>
      </c>
      <c r="AR30" s="57">
        <f t="shared" ca="1" si="26"/>
        <v>24</v>
      </c>
      <c r="AS30" s="57">
        <f t="shared" ca="1" si="27"/>
        <v>2</v>
      </c>
      <c r="AT30" s="59">
        <f t="shared" ca="1" si="28"/>
        <v>24</v>
      </c>
      <c r="AU30" t="str">
        <f t="shared" ca="1" si="8"/>
        <v>Brazil</v>
      </c>
      <c r="AV30" s="60">
        <f t="shared" ca="1" si="9"/>
        <v>44</v>
      </c>
      <c r="AX30">
        <f t="shared" ca="1" si="2"/>
        <v>62.5</v>
      </c>
      <c r="AY30" s="56">
        <f ca="1">IF($G30=0,"",RANK(AX30,AX$7:AX$69)+COUNTIF(AX$7:AX30,AX30)-1)</f>
        <v>16</v>
      </c>
      <c r="AZ30" s="57">
        <f t="shared" ca="1" si="29"/>
        <v>39</v>
      </c>
      <c r="BA30" s="57">
        <f t="shared" ca="1" si="30"/>
        <v>19</v>
      </c>
      <c r="BB30" s="57">
        <f t="shared" ca="1" si="31"/>
        <v>2</v>
      </c>
      <c r="BC30" s="59" t="str">
        <f t="shared" ca="1" si="32"/>
        <v>=19</v>
      </c>
      <c r="BD30" t="str">
        <f t="shared" ca="1" si="10"/>
        <v>Panama</v>
      </c>
      <c r="BE30" s="60">
        <f t="shared" ca="1" si="11"/>
        <v>56.3</v>
      </c>
      <c r="BG30">
        <f t="shared" ca="1" si="3"/>
        <v>51.9</v>
      </c>
      <c r="BH30" s="56">
        <f ca="1">IF($G30=0,"",RANK(BG30,BG$7:BG$69)+COUNTIF(BG$7:BG30,BG30)-1)</f>
        <v>14</v>
      </c>
      <c r="BI30" s="57">
        <f t="shared" ca="1" si="33"/>
        <v>52</v>
      </c>
      <c r="BJ30" s="57">
        <f t="shared" ca="1" si="34"/>
        <v>23</v>
      </c>
      <c r="BK30" s="57">
        <f t="shared" ca="1" si="35"/>
        <v>2</v>
      </c>
      <c r="BL30" s="59" t="str">
        <f t="shared" ca="1" si="36"/>
        <v>=23</v>
      </c>
      <c r="BM30" t="str">
        <f t="shared" ca="1" si="12"/>
        <v>Uruguay</v>
      </c>
      <c r="BN30" s="60">
        <f t="shared" ca="1" si="13"/>
        <v>45.8</v>
      </c>
      <c r="BP30">
        <f t="shared" ca="1" si="4"/>
        <v>66.7</v>
      </c>
      <c r="BQ30" s="56">
        <f ca="1">IF($G30=0,"",RANK(BP30,BP$7:BP$69)+COUNTIF(BP$7:BP30,BP30)-1)</f>
        <v>4</v>
      </c>
      <c r="BR30" s="57">
        <f t="shared" ca="1" si="37"/>
        <v>13</v>
      </c>
      <c r="BS30" s="57">
        <f t="shared" ca="1" si="38"/>
        <v>20</v>
      </c>
      <c r="BT30" s="57">
        <f t="shared" ca="1" si="39"/>
        <v>2</v>
      </c>
      <c r="BU30" s="59" t="str">
        <f t="shared" ca="1" si="40"/>
        <v>=20</v>
      </c>
      <c r="BV30" t="str">
        <f t="shared" ca="1" si="14"/>
        <v>Costa Rica</v>
      </c>
      <c r="BW30" s="60">
        <f t="shared" ca="1" si="15"/>
        <v>33.299999999999997</v>
      </c>
      <c r="BY30">
        <f t="shared" ca="1" si="5"/>
        <v>62.1</v>
      </c>
      <c r="BZ30" s="56">
        <f ca="1">IF($G30=0,"",RANK(BY30,BY$7:BY$69)+COUNTIF(BY$7:BY30,BY30)-1)</f>
        <v>4</v>
      </c>
      <c r="CA30" s="57">
        <f t="shared" ca="1" si="41"/>
        <v>7</v>
      </c>
      <c r="CB30" s="57">
        <f t="shared" ca="1" si="42"/>
        <v>24</v>
      </c>
      <c r="CC30" s="57">
        <f t="shared" ca="1" si="43"/>
        <v>2</v>
      </c>
      <c r="CD30" s="59">
        <f t="shared" ca="1" si="44"/>
        <v>24</v>
      </c>
      <c r="CE30" t="str">
        <f t="shared" ca="1" si="16"/>
        <v>Brazil</v>
      </c>
      <c r="CF30" s="60">
        <f t="shared" ca="1" si="17"/>
        <v>44</v>
      </c>
    </row>
    <row r="31" spans="1:84">
      <c r="A31">
        <v>25</v>
      </c>
      <c r="B31">
        <f ca="1">tblCountries!A27</f>
        <v>25</v>
      </c>
      <c r="C31" t="str">
        <f ca="1">tblCountries!C27</f>
        <v>ID</v>
      </c>
      <c r="D31" t="str">
        <f ca="1">tblCountries!B27</f>
        <v>Indonesia</v>
      </c>
      <c r="E31">
        <f ca="1">tblCountries!H27</f>
        <v>2</v>
      </c>
      <c r="G31">
        <f ca="1">tblCountries!I27</f>
        <v>2</v>
      </c>
      <c r="H31">
        <f t="shared" ca="1" si="6"/>
        <v>35.200000000000003</v>
      </c>
      <c r="K31" s="56">
        <f ca="1">IF($G31=0,"",RANK(H31,H$7:H$69)+COUNTIF(H$7:H31,H31)-1)</f>
        <v>36</v>
      </c>
      <c r="L31" s="57">
        <f t="shared" ca="1" si="18"/>
        <v>2</v>
      </c>
      <c r="M31" s="57">
        <f t="shared" ca="1" si="19"/>
        <v>25</v>
      </c>
      <c r="N31" s="57">
        <f t="shared" ca="1" si="20"/>
        <v>2</v>
      </c>
      <c r="O31" s="59">
        <f t="shared" ca="1" si="21"/>
        <v>25</v>
      </c>
      <c r="P31" t="str">
        <f t="shared" ca="1" si="22"/>
        <v>Armenia</v>
      </c>
      <c r="Q31" s="60">
        <f t="shared" ca="1" si="23"/>
        <v>43.9</v>
      </c>
      <c r="AF31">
        <f t="shared" ca="1" si="0"/>
        <v>35.200000000000003</v>
      </c>
      <c r="AG31" s="56">
        <f ca="1">IF($E31&lt;0,"",RANK(AF31,AF$7:AF$61)+COUNTIF(AF$7:AF31,AF31)-1)</f>
        <v>36</v>
      </c>
      <c r="AH31" s="57">
        <f t="shared" ca="1" si="7"/>
        <v>2</v>
      </c>
      <c r="AI31" s="57">
        <f t="shared" ca="1" si="24"/>
        <v>25</v>
      </c>
      <c r="AJ31" s="57">
        <f t="shared" ca="1" si="45"/>
        <v>2</v>
      </c>
      <c r="AK31" s="59">
        <f t="shared" ca="1" si="46"/>
        <v>25</v>
      </c>
      <c r="AL31" t="str">
        <f t="shared" ca="1" si="47"/>
        <v>Armenia</v>
      </c>
      <c r="AM31" s="60">
        <f t="shared" ca="1" si="48"/>
        <v>43.9</v>
      </c>
      <c r="AO31">
        <f t="shared" ca="1" si="1"/>
        <v>35.200000000000003</v>
      </c>
      <c r="AP31" s="56">
        <f ca="1">IF($G31=0,"",RANK(AO31,AO$7:AO$69)+COUNTIF(AO$7:AO31,AO31)-1)</f>
        <v>36</v>
      </c>
      <c r="AQ31" s="57">
        <f t="shared" ca="1" si="25"/>
        <v>2</v>
      </c>
      <c r="AR31" s="57">
        <f t="shared" ca="1" si="26"/>
        <v>25</v>
      </c>
      <c r="AS31" s="57">
        <f t="shared" ca="1" si="27"/>
        <v>2</v>
      </c>
      <c r="AT31" s="59">
        <f t="shared" ca="1" si="28"/>
        <v>25</v>
      </c>
      <c r="AU31" t="str">
        <f t="shared" ca="1" si="8"/>
        <v>Armenia</v>
      </c>
      <c r="AV31" s="60">
        <f t="shared" ca="1" si="9"/>
        <v>43.9</v>
      </c>
      <c r="AX31">
        <f t="shared" ca="1" si="2"/>
        <v>43.8</v>
      </c>
      <c r="AY31" s="56">
        <f ca="1">IF($G31=0,"",RANK(AX31,AX$7:AX$69)+COUNTIF(AX$7:AX31,AX31)-1)</f>
        <v>40</v>
      </c>
      <c r="AZ31" s="57">
        <f t="shared" ca="1" si="29"/>
        <v>43</v>
      </c>
      <c r="BA31" s="57">
        <f t="shared" ca="1" si="30"/>
        <v>19</v>
      </c>
      <c r="BB31" s="57">
        <f t="shared" ca="1" si="31"/>
        <v>2</v>
      </c>
      <c r="BC31" s="59" t="str">
        <f t="shared" ca="1" si="32"/>
        <v>=19</v>
      </c>
      <c r="BD31" t="str">
        <f t="shared" ca="1" si="10"/>
        <v>Rwanda</v>
      </c>
      <c r="BE31" s="60">
        <f t="shared" ca="1" si="11"/>
        <v>56.3</v>
      </c>
      <c r="BG31">
        <f t="shared" ca="1" si="3"/>
        <v>38.299999999999997</v>
      </c>
      <c r="BH31" s="56">
        <f ca="1">IF($G31=0,"",RANK(BG31,BG$7:BG$69)+COUNTIF(BG$7:BG31,BG31)-1)</f>
        <v>33</v>
      </c>
      <c r="BI31" s="57">
        <f t="shared" ca="1" si="33"/>
        <v>8</v>
      </c>
      <c r="BJ31" s="57">
        <f t="shared" ca="1" si="34"/>
        <v>25</v>
      </c>
      <c r="BK31" s="57">
        <f t="shared" ca="1" si="35"/>
        <v>2</v>
      </c>
      <c r="BL31" s="59" t="str">
        <f t="shared" ca="1" si="36"/>
        <v>=25</v>
      </c>
      <c r="BM31" t="str">
        <f t="shared" ca="1" si="12"/>
        <v>Cambodia</v>
      </c>
      <c r="BN31" s="60">
        <f t="shared" ca="1" si="13"/>
        <v>45.6</v>
      </c>
      <c r="BP31">
        <f t="shared" ca="1" si="4"/>
        <v>25</v>
      </c>
      <c r="BQ31" s="56">
        <f ca="1">IF($G31=0,"",RANK(BP31,BP$7:BP$69)+COUNTIF(BP$7:BP31,BP31)-1)</f>
        <v>34</v>
      </c>
      <c r="BR31" s="57">
        <f t="shared" ca="1" si="37"/>
        <v>19</v>
      </c>
      <c r="BS31" s="57">
        <f t="shared" ca="1" si="38"/>
        <v>20</v>
      </c>
      <c r="BT31" s="57">
        <f t="shared" ca="1" si="39"/>
        <v>2</v>
      </c>
      <c r="BU31" s="59" t="str">
        <f t="shared" ca="1" si="40"/>
        <v>=20</v>
      </c>
      <c r="BV31" t="str">
        <f t="shared" ca="1" si="14"/>
        <v>Georgia</v>
      </c>
      <c r="BW31" s="60">
        <f t="shared" ca="1" si="15"/>
        <v>33.299999999999997</v>
      </c>
      <c r="BY31">
        <f t="shared" ca="1" si="5"/>
        <v>35.200000000000003</v>
      </c>
      <c r="BZ31" s="56">
        <f ca="1">IF($G31=0,"",RANK(BY31,BY$7:BY$69)+COUNTIF(BY$7:BY31,BY31)-1)</f>
        <v>36</v>
      </c>
      <c r="CA31" s="57">
        <f t="shared" ca="1" si="41"/>
        <v>2</v>
      </c>
      <c r="CB31" s="57">
        <f t="shared" ca="1" si="42"/>
        <v>25</v>
      </c>
      <c r="CC31" s="57">
        <f t="shared" ca="1" si="43"/>
        <v>2</v>
      </c>
      <c r="CD31" s="59">
        <f t="shared" ca="1" si="44"/>
        <v>25</v>
      </c>
      <c r="CE31" t="str">
        <f t="shared" ca="1" si="16"/>
        <v>Armenia</v>
      </c>
      <c r="CF31" s="60">
        <f t="shared" ca="1" si="17"/>
        <v>43.9</v>
      </c>
    </row>
    <row r="32" spans="1:84">
      <c r="A32">
        <v>26</v>
      </c>
      <c r="B32">
        <f ca="1">tblCountries!A28</f>
        <v>26</v>
      </c>
      <c r="C32" t="str">
        <f ca="1">tblCountries!C28</f>
        <v>JM</v>
      </c>
      <c r="D32" t="str">
        <f ca="1">tblCountries!B28</f>
        <v>Jamaica</v>
      </c>
      <c r="E32">
        <f ca="1">tblCountries!H28</f>
        <v>2</v>
      </c>
      <c r="G32">
        <f ca="1">tblCountries!I28</f>
        <v>2</v>
      </c>
      <c r="H32">
        <f t="shared" ca="1" si="6"/>
        <v>23.7</v>
      </c>
      <c r="K32" s="56">
        <f ca="1">IF($G32=0,"",RANK(H32,H$7:H$69)+COUNTIF(H$7:H32,H32)-1)</f>
        <v>52</v>
      </c>
      <c r="L32" s="57">
        <f t="shared" ca="1" si="18"/>
        <v>6</v>
      </c>
      <c r="M32" s="57">
        <f t="shared" ca="1" si="19"/>
        <v>26</v>
      </c>
      <c r="N32" s="57">
        <f t="shared" ca="1" si="20"/>
        <v>2</v>
      </c>
      <c r="O32" s="59">
        <f t="shared" ca="1" si="21"/>
        <v>26</v>
      </c>
      <c r="P32" t="str">
        <f t="shared" ca="1" si="22"/>
        <v>Bosnia</v>
      </c>
      <c r="Q32" s="60">
        <f t="shared" ca="1" si="23"/>
        <v>43.1</v>
      </c>
      <c r="AF32">
        <f t="shared" ca="1" si="0"/>
        <v>23.7</v>
      </c>
      <c r="AG32" s="56">
        <f ca="1">IF($E32&lt;0,"",RANK(AF32,AF$7:AF$61)+COUNTIF(AF$7:AF32,AF32)-1)</f>
        <v>52</v>
      </c>
      <c r="AH32" s="57">
        <f t="shared" ca="1" si="7"/>
        <v>6</v>
      </c>
      <c r="AI32" s="57">
        <f t="shared" ca="1" si="24"/>
        <v>26</v>
      </c>
      <c r="AJ32" s="57">
        <f t="shared" ca="1" si="45"/>
        <v>2</v>
      </c>
      <c r="AK32" s="59">
        <f t="shared" ca="1" si="46"/>
        <v>26</v>
      </c>
      <c r="AL32" t="str">
        <f t="shared" ca="1" si="47"/>
        <v>Bosnia</v>
      </c>
      <c r="AM32" s="60">
        <f t="shared" ca="1" si="48"/>
        <v>43.1</v>
      </c>
      <c r="AO32">
        <f t="shared" ca="1" si="1"/>
        <v>23.7</v>
      </c>
      <c r="AP32" s="56">
        <f ca="1">IF($G32=0,"",RANK(AO32,AO$7:AO$69)+COUNTIF(AO$7:AO32,AO32)-1)</f>
        <v>52</v>
      </c>
      <c r="AQ32" s="57">
        <f t="shared" ca="1" si="25"/>
        <v>6</v>
      </c>
      <c r="AR32" s="57">
        <f t="shared" ca="1" si="26"/>
        <v>26</v>
      </c>
      <c r="AS32" s="57">
        <f t="shared" ca="1" si="27"/>
        <v>2</v>
      </c>
      <c r="AT32" s="59">
        <f t="shared" ca="1" si="28"/>
        <v>26</v>
      </c>
      <c r="AU32" t="str">
        <f t="shared" ca="1" si="8"/>
        <v>Bosnia</v>
      </c>
      <c r="AV32" s="60">
        <f t="shared" ca="1" si="9"/>
        <v>43.1</v>
      </c>
      <c r="AX32">
        <f t="shared" ca="1" si="2"/>
        <v>25</v>
      </c>
      <c r="AY32" s="56">
        <f ca="1">IF($G32=0,"",RANK(AX32,AX$7:AX$69)+COUNTIF(AX$7:AX32,AX32)-1)</f>
        <v>51</v>
      </c>
      <c r="AZ32" s="57">
        <f t="shared" ca="1" si="29"/>
        <v>2</v>
      </c>
      <c r="BA32" s="57">
        <f t="shared" ca="1" si="30"/>
        <v>26</v>
      </c>
      <c r="BB32" s="57">
        <f t="shared" ca="1" si="31"/>
        <v>2</v>
      </c>
      <c r="BC32" s="59" t="str">
        <f t="shared" ca="1" si="32"/>
        <v>=26</v>
      </c>
      <c r="BD32" t="str">
        <f t="shared" ca="1" si="10"/>
        <v>Armenia</v>
      </c>
      <c r="BE32" s="60">
        <f t="shared" ca="1" si="11"/>
        <v>50</v>
      </c>
      <c r="BG32">
        <f t="shared" ca="1" si="3"/>
        <v>51.7</v>
      </c>
      <c r="BH32" s="56">
        <f ca="1">IF($G32=0,"",RANK(BG32,BG$7:BG$69)+COUNTIF(BG$7:BG32,BG32)-1)</f>
        <v>15</v>
      </c>
      <c r="BI32" s="57">
        <f t="shared" ca="1" si="33"/>
        <v>32</v>
      </c>
      <c r="BJ32" s="57">
        <f t="shared" ca="1" si="34"/>
        <v>25</v>
      </c>
      <c r="BK32" s="57">
        <f t="shared" ca="1" si="35"/>
        <v>2</v>
      </c>
      <c r="BL32" s="59" t="str">
        <f t="shared" ca="1" si="36"/>
        <v>=25</v>
      </c>
      <c r="BM32" t="str">
        <f t="shared" ca="1" si="12"/>
        <v>Mongolia</v>
      </c>
      <c r="BN32" s="60">
        <f t="shared" ca="1" si="13"/>
        <v>45.6</v>
      </c>
      <c r="BP32">
        <f t="shared" ca="1" si="4"/>
        <v>8.3000000000000007</v>
      </c>
      <c r="BQ32" s="56">
        <f ca="1">IF($G32=0,"",RANK(BP32,BP$7:BP$69)+COUNTIF(BP$7:BP32,BP32)-1)</f>
        <v>52</v>
      </c>
      <c r="BR32" s="57">
        <f t="shared" ca="1" si="37"/>
        <v>27</v>
      </c>
      <c r="BS32" s="57">
        <f t="shared" ca="1" si="38"/>
        <v>20</v>
      </c>
      <c r="BT32" s="57">
        <f t="shared" ca="1" si="39"/>
        <v>2</v>
      </c>
      <c r="BU32" s="59" t="str">
        <f t="shared" ca="1" si="40"/>
        <v>=20</v>
      </c>
      <c r="BV32" t="str">
        <f t="shared" ca="1" si="14"/>
        <v>Kenya</v>
      </c>
      <c r="BW32" s="60">
        <f t="shared" ca="1" si="15"/>
        <v>33.299999999999997</v>
      </c>
      <c r="BY32">
        <f t="shared" ca="1" si="5"/>
        <v>23.7</v>
      </c>
      <c r="BZ32" s="56">
        <f ca="1">IF($G32=0,"",RANK(BY32,BY$7:BY$69)+COUNTIF(BY$7:BY32,BY32)-1)</f>
        <v>52</v>
      </c>
      <c r="CA32" s="57">
        <f t="shared" ca="1" si="41"/>
        <v>6</v>
      </c>
      <c r="CB32" s="57">
        <f t="shared" ca="1" si="42"/>
        <v>26</v>
      </c>
      <c r="CC32" s="57">
        <f t="shared" ca="1" si="43"/>
        <v>2</v>
      </c>
      <c r="CD32" s="59">
        <f t="shared" ca="1" si="44"/>
        <v>26</v>
      </c>
      <c r="CE32" t="str">
        <f t="shared" ca="1" si="16"/>
        <v>Bosnia</v>
      </c>
      <c r="CF32" s="60">
        <f t="shared" ca="1" si="17"/>
        <v>43.1</v>
      </c>
    </row>
    <row r="33" spans="1:84">
      <c r="A33">
        <v>27</v>
      </c>
      <c r="B33">
        <f ca="1">tblCountries!A29</f>
        <v>27</v>
      </c>
      <c r="C33" t="str">
        <f ca="1">tblCountries!C29</f>
        <v>KE</v>
      </c>
      <c r="D33" t="str">
        <f ca="1">tblCountries!B29</f>
        <v>Kenya</v>
      </c>
      <c r="E33">
        <f ca="1">tblCountries!H29</f>
        <v>2</v>
      </c>
      <c r="G33">
        <f ca="1">tblCountries!I29</f>
        <v>2</v>
      </c>
      <c r="H33">
        <f t="shared" ca="1" si="6"/>
        <v>55.8</v>
      </c>
      <c r="K33" s="56">
        <f ca="1">IF($G33=0,"",RANK(H33,H$7:H$69)+COUNTIF(H$7:H33,H33)-1)</f>
        <v>13</v>
      </c>
      <c r="L33" s="57">
        <f t="shared" ca="1" si="18"/>
        <v>4</v>
      </c>
      <c r="M33" s="57">
        <f t="shared" ca="1" si="19"/>
        <v>27</v>
      </c>
      <c r="N33" s="57">
        <f t="shared" ca="1" si="20"/>
        <v>2</v>
      </c>
      <c r="O33" s="59">
        <f t="shared" ca="1" si="21"/>
        <v>27</v>
      </c>
      <c r="P33" t="str">
        <f t="shared" ca="1" si="22"/>
        <v>Bangladesh</v>
      </c>
      <c r="Q33" s="60">
        <f t="shared" ca="1" si="23"/>
        <v>42.7</v>
      </c>
      <c r="AF33">
        <f t="shared" ca="1" si="0"/>
        <v>55.8</v>
      </c>
      <c r="AG33" s="56">
        <f ca="1">IF($E33&lt;0,"",RANK(AF33,AF$7:AF$61)+COUNTIF(AF$7:AF33,AF33)-1)</f>
        <v>13</v>
      </c>
      <c r="AH33" s="57">
        <f t="shared" ca="1" si="7"/>
        <v>4</v>
      </c>
      <c r="AI33" s="57">
        <f t="shared" ca="1" si="24"/>
        <v>27</v>
      </c>
      <c r="AJ33" s="57">
        <f t="shared" ca="1" si="45"/>
        <v>2</v>
      </c>
      <c r="AK33" s="59">
        <f t="shared" ca="1" si="46"/>
        <v>27</v>
      </c>
      <c r="AL33" t="str">
        <f t="shared" ca="1" si="47"/>
        <v>Bangladesh</v>
      </c>
      <c r="AM33" s="60">
        <f t="shared" ca="1" si="48"/>
        <v>42.7</v>
      </c>
      <c r="AO33">
        <f t="shared" ca="1" si="1"/>
        <v>55.8</v>
      </c>
      <c r="AP33" s="56">
        <f ca="1">IF($G33=0,"",RANK(AO33,AO$7:AO$69)+COUNTIF(AO$7:AO33,AO33)-1)</f>
        <v>13</v>
      </c>
      <c r="AQ33" s="57">
        <f t="shared" ca="1" si="25"/>
        <v>4</v>
      </c>
      <c r="AR33" s="57">
        <f t="shared" ca="1" si="26"/>
        <v>27</v>
      </c>
      <c r="AS33" s="57">
        <f t="shared" ca="1" si="27"/>
        <v>2</v>
      </c>
      <c r="AT33" s="59">
        <f t="shared" ca="1" si="28"/>
        <v>27</v>
      </c>
      <c r="AU33" t="str">
        <f t="shared" ca="1" si="8"/>
        <v>Bangladesh</v>
      </c>
      <c r="AV33" s="60">
        <f t="shared" ca="1" si="9"/>
        <v>42.7</v>
      </c>
      <c r="AX33">
        <f t="shared" ca="1" si="2"/>
        <v>81.3</v>
      </c>
      <c r="AY33" s="56">
        <f ca="1">IF($G33=0,"",RANK(AX33,AX$7:AX$69)+COUNTIF(AX$7:AX33,AX33)-1)</f>
        <v>4</v>
      </c>
      <c r="AZ33" s="57">
        <f t="shared" ca="1" si="29"/>
        <v>6</v>
      </c>
      <c r="BA33" s="57">
        <f t="shared" ca="1" si="30"/>
        <v>26</v>
      </c>
      <c r="BB33" s="57">
        <f t="shared" ca="1" si="31"/>
        <v>2</v>
      </c>
      <c r="BC33" s="59" t="str">
        <f t="shared" ca="1" si="32"/>
        <v>=26</v>
      </c>
      <c r="BD33" t="str">
        <f t="shared" ca="1" si="10"/>
        <v>Bosnia</v>
      </c>
      <c r="BE33" s="60">
        <f t="shared" ca="1" si="11"/>
        <v>50</v>
      </c>
      <c r="BG33">
        <f t="shared" ca="1" si="3"/>
        <v>50</v>
      </c>
      <c r="BH33" s="56">
        <f ca="1">IF($G33=0,"",RANK(BG33,BG$7:BG$69)+COUNTIF(BG$7:BG33,BG33)-1)</f>
        <v>18</v>
      </c>
      <c r="BI33" s="57">
        <f t="shared" ca="1" si="33"/>
        <v>4</v>
      </c>
      <c r="BJ33" s="57">
        <f t="shared" ca="1" si="34"/>
        <v>27</v>
      </c>
      <c r="BK33" s="57">
        <f t="shared" ca="1" si="35"/>
        <v>2</v>
      </c>
      <c r="BL33" s="59" t="str">
        <f t="shared" ca="1" si="36"/>
        <v>=27</v>
      </c>
      <c r="BM33" t="str">
        <f t="shared" ca="1" si="12"/>
        <v>Bangladesh</v>
      </c>
      <c r="BN33" s="60">
        <f t="shared" ca="1" si="13"/>
        <v>42.5</v>
      </c>
      <c r="BP33">
        <f t="shared" ca="1" si="4"/>
        <v>33.299999999999997</v>
      </c>
      <c r="BQ33" s="56">
        <f ca="1">IF($G33=0,"",RANK(BP33,BP$7:BP$69)+COUNTIF(BP$7:BP33,BP33)-1)</f>
        <v>26</v>
      </c>
      <c r="BR33" s="57">
        <f t="shared" ca="1" si="37"/>
        <v>31</v>
      </c>
      <c r="BS33" s="57">
        <f t="shared" ca="1" si="38"/>
        <v>20</v>
      </c>
      <c r="BT33" s="57">
        <f t="shared" ca="1" si="39"/>
        <v>2</v>
      </c>
      <c r="BU33" s="59" t="str">
        <f t="shared" ca="1" si="40"/>
        <v>=20</v>
      </c>
      <c r="BV33" t="str">
        <f t="shared" ca="1" si="14"/>
        <v>Mexico</v>
      </c>
      <c r="BW33" s="60">
        <f t="shared" ca="1" si="15"/>
        <v>33.299999999999997</v>
      </c>
      <c r="BY33">
        <f t="shared" ca="1" si="5"/>
        <v>55.8</v>
      </c>
      <c r="BZ33" s="56">
        <f ca="1">IF($G33=0,"",RANK(BY33,BY$7:BY$69)+COUNTIF(BY$7:BY33,BY33)-1)</f>
        <v>13</v>
      </c>
      <c r="CA33" s="57">
        <f t="shared" ca="1" si="41"/>
        <v>4</v>
      </c>
      <c r="CB33" s="57">
        <f t="shared" ca="1" si="42"/>
        <v>27</v>
      </c>
      <c r="CC33" s="57">
        <f t="shared" ca="1" si="43"/>
        <v>2</v>
      </c>
      <c r="CD33" s="59">
        <f t="shared" ca="1" si="44"/>
        <v>27</v>
      </c>
      <c r="CE33" t="str">
        <f t="shared" ca="1" si="16"/>
        <v>Bangladesh</v>
      </c>
      <c r="CF33" s="60">
        <f t="shared" ca="1" si="17"/>
        <v>42.7</v>
      </c>
    </row>
    <row r="34" spans="1:84">
      <c r="A34">
        <v>28</v>
      </c>
      <c r="B34">
        <f ca="1">tblCountries!A30</f>
        <v>28</v>
      </c>
      <c r="C34" t="str">
        <f ca="1">tblCountries!C30</f>
        <v>KG</v>
      </c>
      <c r="D34" t="str">
        <f ca="1">tblCountries!B30</f>
        <v>Kyrgyzstan</v>
      </c>
      <c r="E34">
        <f ca="1">tblCountries!H30</f>
        <v>2</v>
      </c>
      <c r="G34">
        <f ca="1">tblCountries!I30</f>
        <v>2</v>
      </c>
      <c r="H34">
        <f t="shared" ca="1" si="6"/>
        <v>56.2</v>
      </c>
      <c r="K34" s="56">
        <f ca="1">IF($G34=0,"",RANK(H34,H$7:H$69)+COUNTIF(H$7:H34,H34)-1)</f>
        <v>12</v>
      </c>
      <c r="L34" s="57">
        <f t="shared" ca="1" si="18"/>
        <v>13</v>
      </c>
      <c r="M34" s="57">
        <f t="shared" ca="1" si="19"/>
        <v>28</v>
      </c>
      <c r="N34" s="57">
        <f t="shared" ca="1" si="20"/>
        <v>2</v>
      </c>
      <c r="O34" s="59">
        <f t="shared" ca="1" si="21"/>
        <v>28</v>
      </c>
      <c r="P34" t="str">
        <f t="shared" ca="1" si="22"/>
        <v>Costa Rica</v>
      </c>
      <c r="Q34" s="60">
        <f t="shared" ca="1" si="23"/>
        <v>42.5</v>
      </c>
      <c r="AF34">
        <f t="shared" ca="1" si="0"/>
        <v>56.2</v>
      </c>
      <c r="AG34" s="56">
        <f ca="1">IF($E34&lt;0,"",RANK(AF34,AF$7:AF$61)+COUNTIF(AF$7:AF34,AF34)-1)</f>
        <v>12</v>
      </c>
      <c r="AH34" s="57">
        <f t="shared" ca="1" si="7"/>
        <v>13</v>
      </c>
      <c r="AI34" s="57">
        <f t="shared" ca="1" si="24"/>
        <v>28</v>
      </c>
      <c r="AJ34" s="57">
        <f t="shared" ca="1" si="45"/>
        <v>2</v>
      </c>
      <c r="AK34" s="59">
        <f t="shared" ca="1" si="46"/>
        <v>28</v>
      </c>
      <c r="AL34" t="str">
        <f t="shared" ca="1" si="47"/>
        <v>Costa Rica</v>
      </c>
      <c r="AM34" s="60">
        <f t="shared" ca="1" si="48"/>
        <v>42.5</v>
      </c>
      <c r="AO34">
        <f t="shared" ca="1" si="1"/>
        <v>56.2</v>
      </c>
      <c r="AP34" s="56">
        <f ca="1">IF($G34=0,"",RANK(AO34,AO$7:AO$69)+COUNTIF(AO$7:AO34,AO34)-1)</f>
        <v>12</v>
      </c>
      <c r="AQ34" s="57">
        <f t="shared" ca="1" si="25"/>
        <v>13</v>
      </c>
      <c r="AR34" s="57">
        <f t="shared" ca="1" si="26"/>
        <v>28</v>
      </c>
      <c r="AS34" s="57">
        <f t="shared" ca="1" si="27"/>
        <v>2</v>
      </c>
      <c r="AT34" s="59">
        <f t="shared" ca="1" si="28"/>
        <v>28</v>
      </c>
      <c r="AU34" t="str">
        <f t="shared" ca="1" si="8"/>
        <v>Costa Rica</v>
      </c>
      <c r="AV34" s="60">
        <f t="shared" ca="1" si="9"/>
        <v>42.5</v>
      </c>
      <c r="AX34">
        <f t="shared" ca="1" si="2"/>
        <v>81.3</v>
      </c>
      <c r="AY34" s="56">
        <f ca="1">IF($G34=0,"",RANK(AX34,AX$7:AX$69)+COUNTIF(AX$7:AX34,AX34)-1)</f>
        <v>5</v>
      </c>
      <c r="AZ34" s="57">
        <f t="shared" ca="1" si="29"/>
        <v>7</v>
      </c>
      <c r="BA34" s="57">
        <f t="shared" ca="1" si="30"/>
        <v>26</v>
      </c>
      <c r="BB34" s="57">
        <f t="shared" ca="1" si="31"/>
        <v>2</v>
      </c>
      <c r="BC34" s="59" t="str">
        <f t="shared" ca="1" si="32"/>
        <v>=26</v>
      </c>
      <c r="BD34" t="str">
        <f t="shared" ca="1" si="10"/>
        <v>Brazil</v>
      </c>
      <c r="BE34" s="60">
        <f t="shared" ca="1" si="11"/>
        <v>50</v>
      </c>
      <c r="BG34">
        <f t="shared" ca="1" si="3"/>
        <v>35</v>
      </c>
      <c r="BH34" s="56">
        <f ca="1">IF($G34=0,"",RANK(BG34,BG$7:BG$69)+COUNTIF(BG$7:BG34,BG34)-1)</f>
        <v>42</v>
      </c>
      <c r="BI34" s="57">
        <f t="shared" ca="1" si="33"/>
        <v>21</v>
      </c>
      <c r="BJ34" s="57">
        <f t="shared" ca="1" si="34"/>
        <v>27</v>
      </c>
      <c r="BK34" s="57">
        <f t="shared" ca="1" si="35"/>
        <v>2</v>
      </c>
      <c r="BL34" s="59" t="str">
        <f t="shared" ca="1" si="36"/>
        <v>=27</v>
      </c>
      <c r="BM34" t="str">
        <f t="shared" ca="1" si="12"/>
        <v>Guatemala</v>
      </c>
      <c r="BN34" s="60">
        <f t="shared" ca="1" si="13"/>
        <v>42.5</v>
      </c>
      <c r="BP34">
        <f t="shared" ca="1" si="4"/>
        <v>41.7</v>
      </c>
      <c r="BQ34" s="56">
        <f ca="1">IF($G34=0,"",RANK(BP34,BP$7:BP$69)+COUNTIF(BP$7:BP34,BP34)-1)</f>
        <v>15</v>
      </c>
      <c r="BR34" s="57">
        <f t="shared" ca="1" si="37"/>
        <v>35</v>
      </c>
      <c r="BS34" s="57">
        <f t="shared" ca="1" si="38"/>
        <v>20</v>
      </c>
      <c r="BT34" s="57">
        <f t="shared" ca="1" si="39"/>
        <v>2</v>
      </c>
      <c r="BU34" s="59" t="str">
        <f t="shared" ca="1" si="40"/>
        <v>=20</v>
      </c>
      <c r="BV34" t="str">
        <f t="shared" ca="1" si="14"/>
        <v>Nepal</v>
      </c>
      <c r="BW34" s="60">
        <f t="shared" ca="1" si="15"/>
        <v>33.299999999999997</v>
      </c>
      <c r="BY34">
        <f t="shared" ca="1" si="5"/>
        <v>56.2</v>
      </c>
      <c r="BZ34" s="56">
        <f ca="1">IF($G34=0,"",RANK(BY34,BY$7:BY$69)+COUNTIF(BY$7:BY34,BY34)-1)</f>
        <v>12</v>
      </c>
      <c r="CA34" s="57">
        <f t="shared" ca="1" si="41"/>
        <v>13</v>
      </c>
      <c r="CB34" s="57">
        <f t="shared" ca="1" si="42"/>
        <v>28</v>
      </c>
      <c r="CC34" s="57">
        <f t="shared" ca="1" si="43"/>
        <v>2</v>
      </c>
      <c r="CD34" s="59">
        <f t="shared" ca="1" si="44"/>
        <v>28</v>
      </c>
      <c r="CE34" t="str">
        <f t="shared" ca="1" si="16"/>
        <v>Costa Rica</v>
      </c>
      <c r="CF34" s="60">
        <f t="shared" ca="1" si="17"/>
        <v>42.5</v>
      </c>
    </row>
    <row r="35" spans="1:84">
      <c r="A35">
        <v>29</v>
      </c>
      <c r="B35">
        <f ca="1">tblCountries!A31</f>
        <v>29</v>
      </c>
      <c r="C35" t="str">
        <f ca="1">tblCountries!C31</f>
        <v>LB</v>
      </c>
      <c r="D35" t="str">
        <f ca="1">tblCountries!B31</f>
        <v>Lebanon</v>
      </c>
      <c r="E35">
        <f ca="1">tblCountries!H31</f>
        <v>2</v>
      </c>
      <c r="G35">
        <f ca="1">tblCountries!I31</f>
        <v>2</v>
      </c>
      <c r="H35">
        <f t="shared" ca="1" si="6"/>
        <v>29.3</v>
      </c>
      <c r="K35" s="56">
        <f ca="1">IF($G35=0,"",RANK(H35,H$7:H$69)+COUNTIF(H$7:H35,H35)-1)</f>
        <v>48</v>
      </c>
      <c r="L35" s="57">
        <f t="shared" ca="1" si="18"/>
        <v>55</v>
      </c>
      <c r="M35" s="57">
        <f t="shared" ca="1" si="19"/>
        <v>29</v>
      </c>
      <c r="N35" s="57">
        <f t="shared" ca="1" si="20"/>
        <v>2</v>
      </c>
      <c r="O35" s="59">
        <f t="shared" ca="1" si="21"/>
        <v>29</v>
      </c>
      <c r="P35" t="str">
        <f t="shared" ca="1" si="22"/>
        <v>Yemen</v>
      </c>
      <c r="Q35" s="60">
        <f t="shared" ca="1" si="23"/>
        <v>42.1</v>
      </c>
      <c r="AF35">
        <f t="shared" ca="1" si="0"/>
        <v>29.3</v>
      </c>
      <c r="AG35" s="56">
        <f ca="1">IF($E35&lt;0,"",RANK(AF35,AF$7:AF$61)+COUNTIF(AF$7:AF35,AF35)-1)</f>
        <v>48</v>
      </c>
      <c r="AH35" s="57">
        <f t="shared" ca="1" si="7"/>
        <v>55</v>
      </c>
      <c r="AI35" s="57">
        <f t="shared" ca="1" si="24"/>
        <v>29</v>
      </c>
      <c r="AJ35" s="57">
        <f t="shared" ca="1" si="45"/>
        <v>2</v>
      </c>
      <c r="AK35" s="59">
        <f t="shared" ca="1" si="46"/>
        <v>29</v>
      </c>
      <c r="AL35" t="str">
        <f t="shared" ca="1" si="47"/>
        <v>Yemen</v>
      </c>
      <c r="AM35" s="60">
        <f t="shared" ca="1" si="48"/>
        <v>42.1</v>
      </c>
      <c r="AO35">
        <f t="shared" ca="1" si="1"/>
        <v>29.3</v>
      </c>
      <c r="AP35" s="56">
        <f ca="1">IF($G35=0,"",RANK(AO35,AO$7:AO$69)+COUNTIF(AO$7:AO35,AO35)-1)</f>
        <v>48</v>
      </c>
      <c r="AQ35" s="57">
        <f t="shared" ca="1" si="25"/>
        <v>55</v>
      </c>
      <c r="AR35" s="57">
        <f t="shared" ca="1" si="26"/>
        <v>29</v>
      </c>
      <c r="AS35" s="57">
        <f t="shared" ca="1" si="27"/>
        <v>2</v>
      </c>
      <c r="AT35" s="59">
        <f t="shared" ca="1" si="28"/>
        <v>29</v>
      </c>
      <c r="AU35" t="str">
        <f t="shared" ca="1" si="8"/>
        <v>Yemen</v>
      </c>
      <c r="AV35" s="60">
        <f t="shared" ca="1" si="9"/>
        <v>42.1</v>
      </c>
      <c r="AX35">
        <f t="shared" ca="1" si="2"/>
        <v>37.5</v>
      </c>
      <c r="AY35" s="56">
        <f ca="1">IF($G35=0,"",RANK(AX35,AX$7:AX$69)+COUNTIF(AX$7:AX35,AX35)-1)</f>
        <v>44</v>
      </c>
      <c r="AZ35" s="57">
        <f t="shared" ca="1" si="29"/>
        <v>9</v>
      </c>
      <c r="BA35" s="57">
        <f t="shared" ca="1" si="30"/>
        <v>26</v>
      </c>
      <c r="BB35" s="57">
        <f t="shared" ca="1" si="31"/>
        <v>2</v>
      </c>
      <c r="BC35" s="59" t="str">
        <f t="shared" ca="1" si="32"/>
        <v>=26</v>
      </c>
      <c r="BD35" t="str">
        <f t="shared" ca="1" si="10"/>
        <v>Cameroon</v>
      </c>
      <c r="BE35" s="60">
        <f t="shared" ca="1" si="11"/>
        <v>50</v>
      </c>
      <c r="BG35">
        <f t="shared" ca="1" si="3"/>
        <v>38.299999999999997</v>
      </c>
      <c r="BH35" s="56">
        <f ca="1">IF($G35=0,"",RANK(BG35,BG$7:BG$69)+COUNTIF(BG$7:BG35,BG35)-1)</f>
        <v>34</v>
      </c>
      <c r="BI35" s="57">
        <f t="shared" ca="1" si="33"/>
        <v>44</v>
      </c>
      <c r="BJ35" s="57">
        <f t="shared" ca="1" si="34"/>
        <v>29</v>
      </c>
      <c r="BK35" s="57">
        <f t="shared" ca="1" si="35"/>
        <v>2</v>
      </c>
      <c r="BL35" s="59">
        <f t="shared" ca="1" si="36"/>
        <v>29</v>
      </c>
      <c r="BM35" t="str">
        <f t="shared" ca="1" si="12"/>
        <v>Senegal</v>
      </c>
      <c r="BN35" s="60">
        <f t="shared" ca="1" si="13"/>
        <v>41.9</v>
      </c>
      <c r="BP35">
        <f t="shared" ca="1" si="4"/>
        <v>16.7</v>
      </c>
      <c r="BQ35" s="56">
        <f ca="1">IF($G35=0,"",RANK(BP35,BP$7:BP$69)+COUNTIF(BP$7:BP35,BP35)-1)</f>
        <v>44</v>
      </c>
      <c r="BR35" s="57">
        <f t="shared" ca="1" si="37"/>
        <v>47</v>
      </c>
      <c r="BS35" s="57">
        <f t="shared" ca="1" si="38"/>
        <v>20</v>
      </c>
      <c r="BT35" s="57">
        <f t="shared" ca="1" si="39"/>
        <v>2</v>
      </c>
      <c r="BU35" s="59" t="str">
        <f t="shared" ca="1" si="40"/>
        <v>=20</v>
      </c>
      <c r="BV35" t="str">
        <f t="shared" ca="1" si="14"/>
        <v>Tanzania</v>
      </c>
      <c r="BW35" s="60">
        <f t="shared" ca="1" si="15"/>
        <v>33.299999999999997</v>
      </c>
      <c r="BY35">
        <f t="shared" ca="1" si="5"/>
        <v>29.3</v>
      </c>
      <c r="BZ35" s="56">
        <f ca="1">IF($G35=0,"",RANK(BY35,BY$7:BY$69)+COUNTIF(BY$7:BY35,BY35)-1)</f>
        <v>48</v>
      </c>
      <c r="CA35" s="57">
        <f t="shared" ca="1" si="41"/>
        <v>55</v>
      </c>
      <c r="CB35" s="57">
        <f t="shared" ca="1" si="42"/>
        <v>29</v>
      </c>
      <c r="CC35" s="57">
        <f t="shared" ca="1" si="43"/>
        <v>2</v>
      </c>
      <c r="CD35" s="59">
        <f t="shared" ca="1" si="44"/>
        <v>29</v>
      </c>
      <c r="CE35" t="str">
        <f t="shared" ca="1" si="16"/>
        <v>Yemen</v>
      </c>
      <c r="CF35" s="60">
        <f t="shared" ca="1" si="17"/>
        <v>42.1</v>
      </c>
    </row>
    <row r="36" spans="1:84">
      <c r="A36">
        <v>30</v>
      </c>
      <c r="B36">
        <f ca="1">tblCountries!A32</f>
        <v>30</v>
      </c>
      <c r="C36" t="str">
        <f ca="1">tblCountries!C32</f>
        <v>MG</v>
      </c>
      <c r="D36" t="str">
        <f ca="1">tblCountries!B32</f>
        <v>Madagascar</v>
      </c>
      <c r="E36">
        <f ca="1">tblCountries!H32</f>
        <v>2</v>
      </c>
      <c r="G36">
        <f ca="1">tblCountries!I32</f>
        <v>2</v>
      </c>
      <c r="H36">
        <f t="shared" ca="1" si="6"/>
        <v>32.299999999999997</v>
      </c>
      <c r="K36" s="56">
        <f ca="1">IF($G36=0,"",RANK(H36,H$7:H$69)+COUNTIF(H$7:H36,H36)-1)</f>
        <v>40</v>
      </c>
      <c r="L36" s="57">
        <f t="shared" ca="1" si="18"/>
        <v>45</v>
      </c>
      <c r="M36" s="57">
        <f t="shared" ca="1" si="19"/>
        <v>30</v>
      </c>
      <c r="N36" s="57">
        <f t="shared" ca="1" si="20"/>
        <v>2</v>
      </c>
      <c r="O36" s="59" t="str">
        <f t="shared" ca="1" si="21"/>
        <v>=30</v>
      </c>
      <c r="P36" t="str">
        <f t="shared" ca="1" si="22"/>
        <v>Sri Lanka</v>
      </c>
      <c r="Q36" s="60">
        <f t="shared" ca="1" si="23"/>
        <v>40.4</v>
      </c>
      <c r="AF36">
        <f t="shared" ca="1" si="0"/>
        <v>32.299999999999997</v>
      </c>
      <c r="AG36" s="56">
        <f ca="1">IF($E36&lt;0,"",RANK(AF36,AF$7:AF$61)+COUNTIF(AF$7:AF36,AF36)-1)</f>
        <v>40</v>
      </c>
      <c r="AH36" s="57">
        <f t="shared" ca="1" si="7"/>
        <v>45</v>
      </c>
      <c r="AI36" s="57">
        <f t="shared" ca="1" si="24"/>
        <v>30</v>
      </c>
      <c r="AJ36" s="57">
        <f t="shared" ca="1" si="45"/>
        <v>2</v>
      </c>
      <c r="AK36" s="59" t="str">
        <f t="shared" ca="1" si="46"/>
        <v>=30</v>
      </c>
      <c r="AL36" t="str">
        <f t="shared" ca="1" si="47"/>
        <v>Sri Lanka</v>
      </c>
      <c r="AM36" s="60">
        <f t="shared" ca="1" si="48"/>
        <v>40.4</v>
      </c>
      <c r="AO36">
        <f t="shared" ca="1" si="1"/>
        <v>32.299999999999997</v>
      </c>
      <c r="AP36" s="56">
        <f ca="1">IF($G36=0,"",RANK(AO36,AO$7:AO$69)+COUNTIF(AO$7:AO36,AO36)-1)</f>
        <v>40</v>
      </c>
      <c r="AQ36" s="57">
        <f t="shared" ca="1" si="25"/>
        <v>45</v>
      </c>
      <c r="AR36" s="57">
        <f t="shared" ca="1" si="26"/>
        <v>30</v>
      </c>
      <c r="AS36" s="57">
        <f t="shared" ca="1" si="27"/>
        <v>2</v>
      </c>
      <c r="AT36" s="59" t="str">
        <f t="shared" ca="1" si="28"/>
        <v>=30</v>
      </c>
      <c r="AU36" t="str">
        <f t="shared" ca="1" si="8"/>
        <v>Sri Lanka</v>
      </c>
      <c r="AV36" s="60">
        <f t="shared" ca="1" si="9"/>
        <v>40.4</v>
      </c>
      <c r="AX36">
        <f t="shared" ca="1" si="2"/>
        <v>50</v>
      </c>
      <c r="AY36" s="56">
        <f ca="1">IF($G36=0,"",RANK(AX36,AX$7:AX$69)+COUNTIF(AX$7:AX36,AX36)-1)</f>
        <v>34</v>
      </c>
      <c r="AZ36" s="57">
        <f t="shared" ca="1" si="29"/>
        <v>10</v>
      </c>
      <c r="BA36" s="57">
        <f t="shared" ca="1" si="30"/>
        <v>26</v>
      </c>
      <c r="BB36" s="57">
        <f t="shared" ca="1" si="31"/>
        <v>2</v>
      </c>
      <c r="BC36" s="59" t="str">
        <f t="shared" ca="1" si="32"/>
        <v>=26</v>
      </c>
      <c r="BD36" t="str">
        <f t="shared" ca="1" si="10"/>
        <v>Chile</v>
      </c>
      <c r="BE36" s="60">
        <f t="shared" ca="1" si="11"/>
        <v>50</v>
      </c>
      <c r="BG36">
        <f t="shared" ca="1" si="3"/>
        <v>28.1</v>
      </c>
      <c r="BH36" s="56">
        <f ca="1">IF($G36=0,"",RANK(BG36,BG$7:BG$69)+COUNTIF(BG$7:BG36,BG36)-1)</f>
        <v>51</v>
      </c>
      <c r="BI36" s="57">
        <f t="shared" ca="1" si="33"/>
        <v>45</v>
      </c>
      <c r="BJ36" s="57">
        <f t="shared" ca="1" si="34"/>
        <v>30</v>
      </c>
      <c r="BK36" s="57">
        <f t="shared" ca="1" si="35"/>
        <v>2</v>
      </c>
      <c r="BL36" s="59">
        <f t="shared" ca="1" si="36"/>
        <v>30</v>
      </c>
      <c r="BM36" t="str">
        <f t="shared" ca="1" si="12"/>
        <v>Sri Lanka</v>
      </c>
      <c r="BN36" s="60">
        <f t="shared" ca="1" si="13"/>
        <v>39.4</v>
      </c>
      <c r="BP36">
        <f t="shared" ca="1" si="4"/>
        <v>16.7</v>
      </c>
      <c r="BQ36" s="56">
        <f ca="1">IF($G36=0,"",RANK(BP36,BP$7:BP$69)+COUNTIF(BP$7:BP36,BP36)-1)</f>
        <v>45</v>
      </c>
      <c r="BR36" s="57">
        <f t="shared" ca="1" si="37"/>
        <v>6</v>
      </c>
      <c r="BS36" s="57">
        <f t="shared" ca="1" si="38"/>
        <v>30</v>
      </c>
      <c r="BT36" s="57">
        <f t="shared" ca="1" si="39"/>
        <v>2</v>
      </c>
      <c r="BU36" s="59" t="str">
        <f t="shared" ca="1" si="40"/>
        <v>=30</v>
      </c>
      <c r="BV36" t="str">
        <f t="shared" ca="1" si="14"/>
        <v>Bosnia</v>
      </c>
      <c r="BW36" s="60">
        <f t="shared" ca="1" si="15"/>
        <v>25</v>
      </c>
      <c r="BY36">
        <f t="shared" ca="1" si="5"/>
        <v>32.299999999999997</v>
      </c>
      <c r="BZ36" s="56">
        <f ca="1">IF($G36=0,"",RANK(BY36,BY$7:BY$69)+COUNTIF(BY$7:BY36,BY36)-1)</f>
        <v>40</v>
      </c>
      <c r="CA36" s="57">
        <f t="shared" ca="1" si="41"/>
        <v>45</v>
      </c>
      <c r="CB36" s="57">
        <f t="shared" ca="1" si="42"/>
        <v>30</v>
      </c>
      <c r="CC36" s="57">
        <f t="shared" ca="1" si="43"/>
        <v>2</v>
      </c>
      <c r="CD36" s="59" t="str">
        <f t="shared" ca="1" si="44"/>
        <v>=30</v>
      </c>
      <c r="CE36" t="str">
        <f t="shared" ca="1" si="16"/>
        <v>Sri Lanka</v>
      </c>
      <c r="CF36" s="60">
        <f t="shared" ca="1" si="17"/>
        <v>40.4</v>
      </c>
    </row>
    <row r="37" spans="1:84">
      <c r="A37">
        <v>31</v>
      </c>
      <c r="B37">
        <f ca="1">tblCountries!A33</f>
        <v>31</v>
      </c>
      <c r="C37" t="str">
        <f ca="1">tblCountries!C33</f>
        <v>MX</v>
      </c>
      <c r="D37" t="str">
        <f ca="1">tblCountries!B33</f>
        <v>Mexico</v>
      </c>
      <c r="E37">
        <f ca="1">tblCountries!H33</f>
        <v>2</v>
      </c>
      <c r="G37">
        <f ca="1">tblCountries!I33</f>
        <v>2</v>
      </c>
      <c r="H37">
        <f t="shared" ca="1" si="6"/>
        <v>47.3</v>
      </c>
      <c r="K37" s="56">
        <f ca="1">IF($G37=0,"",RANK(H37,H$7:H$69)+COUNTIF(H$7:H37,H37)-1)</f>
        <v>21</v>
      </c>
      <c r="L37" s="57">
        <f t="shared" ca="1" si="18"/>
        <v>46</v>
      </c>
      <c r="M37" s="57">
        <f t="shared" ca="1" si="19"/>
        <v>30</v>
      </c>
      <c r="N37" s="57">
        <f t="shared" ca="1" si="20"/>
        <v>2</v>
      </c>
      <c r="O37" s="59" t="str">
        <f t="shared" ca="1" si="21"/>
        <v>=30</v>
      </c>
      <c r="P37" t="str">
        <f t="shared" ca="1" si="22"/>
        <v>Tajikistan</v>
      </c>
      <c r="Q37" s="60">
        <f t="shared" ca="1" si="23"/>
        <v>40.4</v>
      </c>
      <c r="AF37">
        <f t="shared" ca="1" si="0"/>
        <v>47.3</v>
      </c>
      <c r="AG37" s="56">
        <f ca="1">IF($E37&lt;0,"",RANK(AF37,AF$7:AF$61)+COUNTIF(AF$7:AF37,AF37)-1)</f>
        <v>21</v>
      </c>
      <c r="AH37" s="57">
        <f t="shared" ca="1" si="7"/>
        <v>46</v>
      </c>
      <c r="AI37" s="57">
        <f t="shared" ca="1" si="24"/>
        <v>30</v>
      </c>
      <c r="AJ37" s="57">
        <f t="shared" ca="1" si="45"/>
        <v>2</v>
      </c>
      <c r="AK37" s="59" t="str">
        <f t="shared" ca="1" si="46"/>
        <v>=30</v>
      </c>
      <c r="AL37" t="str">
        <f t="shared" ca="1" si="47"/>
        <v>Tajikistan</v>
      </c>
      <c r="AM37" s="60">
        <f t="shared" ca="1" si="48"/>
        <v>40.4</v>
      </c>
      <c r="AO37">
        <f t="shared" ca="1" si="1"/>
        <v>47.3</v>
      </c>
      <c r="AP37" s="56">
        <f ca="1">IF($G37=0,"",RANK(AO37,AO$7:AO$69)+COUNTIF(AO$7:AO37,AO37)-1)</f>
        <v>21</v>
      </c>
      <c r="AQ37" s="57">
        <f t="shared" ca="1" si="25"/>
        <v>46</v>
      </c>
      <c r="AR37" s="57">
        <f t="shared" ca="1" si="26"/>
        <v>30</v>
      </c>
      <c r="AS37" s="57">
        <f t="shared" ca="1" si="27"/>
        <v>2</v>
      </c>
      <c r="AT37" s="59" t="str">
        <f t="shared" ca="1" si="28"/>
        <v>=30</v>
      </c>
      <c r="AU37" t="str">
        <f t="shared" ca="1" si="8"/>
        <v>Tajikistan</v>
      </c>
      <c r="AV37" s="60">
        <f t="shared" ca="1" si="9"/>
        <v>40.4</v>
      </c>
      <c r="AX37">
        <f t="shared" ca="1" si="2"/>
        <v>56.3</v>
      </c>
      <c r="AY37" s="56">
        <f ca="1">IF($G37=0,"",RANK(AX37,AX$7:AX$69)+COUNTIF(AX$7:AX37,AX37)-1)</f>
        <v>20</v>
      </c>
      <c r="AZ37" s="57">
        <f t="shared" ca="1" si="29"/>
        <v>14</v>
      </c>
      <c r="BA37" s="57">
        <f t="shared" ca="1" si="30"/>
        <v>26</v>
      </c>
      <c r="BB37" s="57">
        <f t="shared" ca="1" si="31"/>
        <v>2</v>
      </c>
      <c r="BC37" s="59" t="str">
        <f t="shared" ca="1" si="32"/>
        <v>=26</v>
      </c>
      <c r="BD37" t="str">
        <f t="shared" ca="1" si="10"/>
        <v>Dominican Republic</v>
      </c>
      <c r="BE37" s="60">
        <f t="shared" ca="1" si="11"/>
        <v>50</v>
      </c>
      <c r="BG37">
        <f t="shared" ca="1" si="3"/>
        <v>57.5</v>
      </c>
      <c r="BH37" s="56">
        <f ca="1">IF($G37=0,"",RANK(BG37,BG$7:BG$69)+COUNTIF(BG$7:BG37,BG37)-1)</f>
        <v>7</v>
      </c>
      <c r="BI37" s="57">
        <f t="shared" ca="1" si="33"/>
        <v>34</v>
      </c>
      <c r="BJ37" s="57">
        <f t="shared" ca="1" si="34"/>
        <v>31</v>
      </c>
      <c r="BK37" s="57">
        <f t="shared" ca="1" si="35"/>
        <v>2</v>
      </c>
      <c r="BL37" s="59" t="str">
        <f t="shared" ca="1" si="36"/>
        <v>=31</v>
      </c>
      <c r="BM37" t="str">
        <f t="shared" ca="1" si="12"/>
        <v>Mozambique</v>
      </c>
      <c r="BN37" s="60">
        <f t="shared" ca="1" si="13"/>
        <v>38.9</v>
      </c>
      <c r="BP37">
        <f t="shared" ca="1" si="4"/>
        <v>33.299999999999997</v>
      </c>
      <c r="BQ37" s="56">
        <f ca="1">IF($G37=0,"",RANK(BP37,BP$7:BP$69)+COUNTIF(BP$7:BP37,BP37)-1)</f>
        <v>27</v>
      </c>
      <c r="BR37" s="57">
        <f t="shared" ca="1" si="37"/>
        <v>8</v>
      </c>
      <c r="BS37" s="57">
        <f t="shared" ca="1" si="38"/>
        <v>30</v>
      </c>
      <c r="BT37" s="57">
        <f t="shared" ca="1" si="39"/>
        <v>2</v>
      </c>
      <c r="BU37" s="59" t="str">
        <f t="shared" ca="1" si="40"/>
        <v>=30</v>
      </c>
      <c r="BV37" t="str">
        <f t="shared" ca="1" si="14"/>
        <v>Cambodia</v>
      </c>
      <c r="BW37" s="60">
        <f t="shared" ca="1" si="15"/>
        <v>25</v>
      </c>
      <c r="BY37">
        <f t="shared" ca="1" si="5"/>
        <v>47.3</v>
      </c>
      <c r="BZ37" s="56">
        <f ca="1">IF($G37=0,"",RANK(BY37,BY$7:BY$69)+COUNTIF(BY$7:BY37,BY37)-1)</f>
        <v>21</v>
      </c>
      <c r="CA37" s="57">
        <f t="shared" ca="1" si="41"/>
        <v>46</v>
      </c>
      <c r="CB37" s="57">
        <f t="shared" ca="1" si="42"/>
        <v>30</v>
      </c>
      <c r="CC37" s="57">
        <f t="shared" ca="1" si="43"/>
        <v>2</v>
      </c>
      <c r="CD37" s="59" t="str">
        <f t="shared" ca="1" si="44"/>
        <v>=30</v>
      </c>
      <c r="CE37" t="str">
        <f t="shared" ca="1" si="16"/>
        <v>Tajikistan</v>
      </c>
      <c r="CF37" s="60">
        <f t="shared" ca="1" si="17"/>
        <v>40.4</v>
      </c>
    </row>
    <row r="38" spans="1:84">
      <c r="A38">
        <v>32</v>
      </c>
      <c r="B38">
        <f ca="1">tblCountries!A34</f>
        <v>32</v>
      </c>
      <c r="C38" t="str">
        <f ca="1">tblCountries!C34</f>
        <v>MN</v>
      </c>
      <c r="D38" t="str">
        <f ca="1">tblCountries!B34</f>
        <v>Mongolia</v>
      </c>
      <c r="E38">
        <f ca="1">tblCountries!H34</f>
        <v>2</v>
      </c>
      <c r="G38">
        <f ca="1">tblCountries!I34</f>
        <v>2</v>
      </c>
      <c r="H38">
        <f t="shared" ca="1" si="6"/>
        <v>30</v>
      </c>
      <c r="K38" s="56">
        <f ca="1">IF($G38=0,"",RANK(H38,H$7:H$69)+COUNTIF(H$7:H38,H38)-1)</f>
        <v>46</v>
      </c>
      <c r="L38" s="57">
        <f t="shared" ca="1" si="18"/>
        <v>34</v>
      </c>
      <c r="M38" s="57">
        <f t="shared" ca="1" si="19"/>
        <v>32</v>
      </c>
      <c r="N38" s="57">
        <f t="shared" ca="1" si="20"/>
        <v>2</v>
      </c>
      <c r="O38" s="59">
        <f t="shared" ca="1" si="21"/>
        <v>32</v>
      </c>
      <c r="P38" t="str">
        <f t="shared" ca="1" si="22"/>
        <v>Mozambique</v>
      </c>
      <c r="Q38" s="60">
        <f t="shared" ca="1" si="23"/>
        <v>40.299999999999997</v>
      </c>
      <c r="AF38">
        <f t="shared" ca="1" si="0"/>
        <v>30</v>
      </c>
      <c r="AG38" s="56">
        <f ca="1">IF($E38&lt;0,"",RANK(AF38,AF$7:AF$61)+COUNTIF(AF$7:AF38,AF38)-1)</f>
        <v>46</v>
      </c>
      <c r="AH38" s="57">
        <f t="shared" ca="1" si="7"/>
        <v>34</v>
      </c>
      <c r="AI38" s="57">
        <f t="shared" ca="1" si="24"/>
        <v>32</v>
      </c>
      <c r="AJ38" s="57">
        <f t="shared" ca="1" si="45"/>
        <v>2</v>
      </c>
      <c r="AK38" s="59">
        <f t="shared" ca="1" si="46"/>
        <v>32</v>
      </c>
      <c r="AL38" t="str">
        <f t="shared" ca="1" si="47"/>
        <v>Mozambique</v>
      </c>
      <c r="AM38" s="60">
        <f t="shared" ca="1" si="48"/>
        <v>40.299999999999997</v>
      </c>
      <c r="AO38">
        <f t="shared" ca="1" si="1"/>
        <v>30</v>
      </c>
      <c r="AP38" s="56">
        <f ca="1">IF($G38=0,"",RANK(AO38,AO$7:AO$69)+COUNTIF(AO$7:AO38,AO38)-1)</f>
        <v>46</v>
      </c>
      <c r="AQ38" s="57">
        <f t="shared" ca="1" si="25"/>
        <v>34</v>
      </c>
      <c r="AR38" s="57">
        <f t="shared" ca="1" si="26"/>
        <v>32</v>
      </c>
      <c r="AS38" s="57">
        <f t="shared" ca="1" si="27"/>
        <v>2</v>
      </c>
      <c r="AT38" s="59">
        <f t="shared" ca="1" si="28"/>
        <v>32</v>
      </c>
      <c r="AU38" t="str">
        <f t="shared" ca="1" si="8"/>
        <v>Mozambique</v>
      </c>
      <c r="AV38" s="60">
        <f t="shared" ca="1" si="9"/>
        <v>40.299999999999997</v>
      </c>
      <c r="AX38">
        <f t="shared" ca="1" si="2"/>
        <v>43.8</v>
      </c>
      <c r="AY38" s="56">
        <f ca="1">IF($G38=0,"",RANK(AX38,AX$7:AX$69)+COUNTIF(AX$7:AX38,AX38)-1)</f>
        <v>41</v>
      </c>
      <c r="AZ38" s="57">
        <f t="shared" ca="1" si="29"/>
        <v>21</v>
      </c>
      <c r="BA38" s="57">
        <f t="shared" ca="1" si="30"/>
        <v>26</v>
      </c>
      <c r="BB38" s="57">
        <f t="shared" ca="1" si="31"/>
        <v>2</v>
      </c>
      <c r="BC38" s="59" t="str">
        <f t="shared" ca="1" si="32"/>
        <v>=26</v>
      </c>
      <c r="BD38" t="str">
        <f t="shared" ca="1" si="10"/>
        <v>Guatemala</v>
      </c>
      <c r="BE38" s="60">
        <f t="shared" ca="1" si="11"/>
        <v>50</v>
      </c>
      <c r="BG38">
        <f t="shared" ca="1" si="3"/>
        <v>45.6</v>
      </c>
      <c r="BH38" s="56">
        <f ca="1">IF($G38=0,"",RANK(BG38,BG$7:BG$69)+COUNTIF(BG$7:BG38,BG38)-1)</f>
        <v>26</v>
      </c>
      <c r="BI38" s="57">
        <f t="shared" ca="1" si="33"/>
        <v>40</v>
      </c>
      <c r="BJ38" s="57">
        <f t="shared" ca="1" si="34"/>
        <v>31</v>
      </c>
      <c r="BK38" s="57">
        <f t="shared" ca="1" si="35"/>
        <v>2</v>
      </c>
      <c r="BL38" s="59" t="str">
        <f t="shared" ca="1" si="36"/>
        <v>=31</v>
      </c>
      <c r="BM38" t="str">
        <f t="shared" ca="1" si="12"/>
        <v>Paraguay</v>
      </c>
      <c r="BN38" s="60">
        <f t="shared" ca="1" si="13"/>
        <v>38.9</v>
      </c>
      <c r="BP38">
        <f t="shared" ca="1" si="4"/>
        <v>8.3000000000000007</v>
      </c>
      <c r="BQ38" s="56">
        <f ca="1">IF($G38=0,"",RANK(BP38,BP$7:BP$69)+COUNTIF(BP$7:BP38,BP38)-1)</f>
        <v>53</v>
      </c>
      <c r="BR38" s="57">
        <f t="shared" ca="1" si="37"/>
        <v>11</v>
      </c>
      <c r="BS38" s="57">
        <f t="shared" ca="1" si="38"/>
        <v>30</v>
      </c>
      <c r="BT38" s="57">
        <f t="shared" ca="1" si="39"/>
        <v>2</v>
      </c>
      <c r="BU38" s="59" t="str">
        <f t="shared" ca="1" si="40"/>
        <v>=30</v>
      </c>
      <c r="BV38" t="str">
        <f t="shared" ca="1" si="14"/>
        <v>China</v>
      </c>
      <c r="BW38" s="60">
        <f t="shared" ca="1" si="15"/>
        <v>25</v>
      </c>
      <c r="BY38">
        <f t="shared" ca="1" si="5"/>
        <v>30</v>
      </c>
      <c r="BZ38" s="56">
        <f ca="1">IF($G38=0,"",RANK(BY38,BY$7:BY$69)+COUNTIF(BY$7:BY38,BY38)-1)</f>
        <v>46</v>
      </c>
      <c r="CA38" s="57">
        <f t="shared" ca="1" si="41"/>
        <v>34</v>
      </c>
      <c r="CB38" s="57">
        <f t="shared" ca="1" si="42"/>
        <v>32</v>
      </c>
      <c r="CC38" s="57">
        <f t="shared" ca="1" si="43"/>
        <v>2</v>
      </c>
      <c r="CD38" s="59">
        <f t="shared" ca="1" si="44"/>
        <v>32</v>
      </c>
      <c r="CE38" t="str">
        <f t="shared" ca="1" si="16"/>
        <v>Mozambique</v>
      </c>
      <c r="CF38" s="60">
        <f t="shared" ca="1" si="17"/>
        <v>40.299999999999997</v>
      </c>
    </row>
    <row r="39" spans="1:84">
      <c r="A39">
        <v>33</v>
      </c>
      <c r="B39">
        <f ca="1">tblCountries!A35</f>
        <v>33</v>
      </c>
      <c r="C39" t="str">
        <f ca="1">tblCountries!C35</f>
        <v>MA</v>
      </c>
      <c r="D39" t="str">
        <f ca="1">tblCountries!B35</f>
        <v>Morocco</v>
      </c>
      <c r="E39">
        <f ca="1">tblCountries!H35</f>
        <v>2</v>
      </c>
      <c r="G39">
        <f ca="1">tblCountries!I35</f>
        <v>2</v>
      </c>
      <c r="H39">
        <f t="shared" ref="H39:H66" ca="1" si="49">IF(G39=0,"",ROUND(INDEX(norm_data,$C$2,$B39),$B$3))</f>
        <v>30.3</v>
      </c>
      <c r="K39" s="56">
        <f ca="1">IF($G39=0,"",RANK(H39,H$7:H$69)+COUNTIF(H$7:H39,H39)-1)</f>
        <v>44</v>
      </c>
      <c r="L39" s="57">
        <f t="shared" ca="1" si="18"/>
        <v>37</v>
      </c>
      <c r="M39" s="57">
        <f t="shared" ca="1" si="19"/>
        <v>33</v>
      </c>
      <c r="N39" s="57">
        <f t="shared" ca="1" si="20"/>
        <v>2</v>
      </c>
      <c r="O39" s="59">
        <f t="shared" ca="1" si="21"/>
        <v>33</v>
      </c>
      <c r="P39" t="str">
        <f t="shared" ca="1" si="22"/>
        <v>Nigeria</v>
      </c>
      <c r="Q39" s="60">
        <f t="shared" ca="1" si="23"/>
        <v>39.4</v>
      </c>
      <c r="AF39">
        <f t="shared" ref="AF39:AF61" ca="1" si="50">IF($E39&lt;0,"",ROUND(INDEX(norm_data,AF$5,$B39),$B$3))</f>
        <v>30.3</v>
      </c>
      <c r="AG39" s="56">
        <f ca="1">IF($E39&lt;0,"",RANK(AF39,AF$7:AF$61)+COUNTIF(AF$7:AF39,AF39)-1)</f>
        <v>44</v>
      </c>
      <c r="AH39" s="57">
        <f t="shared" ca="1" si="7"/>
        <v>37</v>
      </c>
      <c r="AI39" s="57">
        <f t="shared" ca="1" si="24"/>
        <v>33</v>
      </c>
      <c r="AJ39" s="57">
        <f t="shared" ca="1" si="45"/>
        <v>2</v>
      </c>
      <c r="AK39" s="59">
        <f t="shared" ca="1" si="46"/>
        <v>33</v>
      </c>
      <c r="AL39" t="str">
        <f t="shared" ca="1" si="47"/>
        <v>Nigeria</v>
      </c>
      <c r="AM39" s="60">
        <f t="shared" ca="1" si="48"/>
        <v>39.4</v>
      </c>
      <c r="AO39">
        <f t="shared" ref="AO39:AO69" ca="1" si="51">IF($G39=0,"",ROUND(INDEX(norm_data,AO$5,$B39),$B$3))</f>
        <v>30.3</v>
      </c>
      <c r="AP39" s="56">
        <f ca="1">IF($G39=0,"",RANK(AO39,AO$7:AO$69)+COUNTIF(AO$7:AO39,AO39)-1)</f>
        <v>44</v>
      </c>
      <c r="AQ39" s="57">
        <f t="shared" ca="1" si="25"/>
        <v>37</v>
      </c>
      <c r="AR39" s="57">
        <f t="shared" ca="1" si="26"/>
        <v>33</v>
      </c>
      <c r="AS39" s="57">
        <f t="shared" ca="1" si="27"/>
        <v>2</v>
      </c>
      <c r="AT39" s="59">
        <f t="shared" ca="1" si="28"/>
        <v>33</v>
      </c>
      <c r="AU39" t="str">
        <f t="shared" ca="1" si="8"/>
        <v>Nigeria</v>
      </c>
      <c r="AV39" s="60">
        <f t="shared" ca="1" si="9"/>
        <v>39.4</v>
      </c>
      <c r="AX39">
        <f t="shared" ref="AX39:AX69" ca="1" si="52">IF($G39=0,"",ROUND(INDEX(norm_data,AX$5,$B39),$B$3))</f>
        <v>37.5</v>
      </c>
      <c r="AY39" s="56">
        <f ca="1">IF($G39=0,"",RANK(AX39,AX$7:AX$69)+COUNTIF(AX$7:AX39,AX39)-1)</f>
        <v>45</v>
      </c>
      <c r="AZ39" s="57">
        <f t="shared" ca="1" si="29"/>
        <v>23</v>
      </c>
      <c r="BA39" s="57">
        <f t="shared" ca="1" si="30"/>
        <v>26</v>
      </c>
      <c r="BB39" s="57">
        <f t="shared" ca="1" si="31"/>
        <v>2</v>
      </c>
      <c r="BC39" s="59" t="str">
        <f t="shared" ca="1" si="32"/>
        <v>=26</v>
      </c>
      <c r="BD39" t="str">
        <f t="shared" ca="1" si="10"/>
        <v>Honduras</v>
      </c>
      <c r="BE39" s="60">
        <f t="shared" ca="1" si="11"/>
        <v>50</v>
      </c>
      <c r="BG39">
        <f t="shared" ref="BG39:BG69" ca="1" si="53">IF($G39=0,"",ROUND(INDEX(norm_data,BG$5,$B39),$B$3))</f>
        <v>59.7</v>
      </c>
      <c r="BH39" s="56">
        <f ca="1">IF($G39=0,"",RANK(BG39,BG$7:BG$69)+COUNTIF(BG$7:BG39,BG39)-1)</f>
        <v>4</v>
      </c>
      <c r="BI39" s="57">
        <f t="shared" ca="1" si="33"/>
        <v>25</v>
      </c>
      <c r="BJ39" s="57">
        <f t="shared" ca="1" si="34"/>
        <v>33</v>
      </c>
      <c r="BK39" s="57">
        <f t="shared" ca="1" si="35"/>
        <v>2</v>
      </c>
      <c r="BL39" s="59" t="str">
        <f t="shared" ca="1" si="36"/>
        <v>=33</v>
      </c>
      <c r="BM39" t="str">
        <f t="shared" ca="1" si="12"/>
        <v>Indonesia</v>
      </c>
      <c r="BN39" s="60">
        <f t="shared" ca="1" si="13"/>
        <v>38.299999999999997</v>
      </c>
      <c r="BP39">
        <f t="shared" ref="BP39:BP69" ca="1" si="54">IF($G39=0,"",ROUND(INDEX(norm_data,BP$5,$B39),$B$3))</f>
        <v>8.3000000000000007</v>
      </c>
      <c r="BQ39" s="56">
        <f ca="1">IF($G39=0,"",RANK(BP39,BP$7:BP$69)+COUNTIF(BP$7:BP39,BP39)-1)</f>
        <v>54</v>
      </c>
      <c r="BR39" s="57">
        <f t="shared" ca="1" si="37"/>
        <v>22</v>
      </c>
      <c r="BS39" s="57">
        <f t="shared" ca="1" si="38"/>
        <v>30</v>
      </c>
      <c r="BT39" s="57">
        <f t="shared" ca="1" si="39"/>
        <v>2</v>
      </c>
      <c r="BU39" s="59" t="str">
        <f t="shared" ca="1" si="40"/>
        <v>=30</v>
      </c>
      <c r="BV39" t="str">
        <f t="shared" ca="1" si="14"/>
        <v>Haiti</v>
      </c>
      <c r="BW39" s="60">
        <f t="shared" ca="1" si="15"/>
        <v>25</v>
      </c>
      <c r="BY39">
        <f t="shared" ca="1" si="5"/>
        <v>30.3</v>
      </c>
      <c r="BZ39" s="56">
        <f ca="1">IF($G39=0,"",RANK(BY39,BY$7:BY$69)+COUNTIF(BY$7:BY39,BY39)-1)</f>
        <v>44</v>
      </c>
      <c r="CA39" s="57">
        <f t="shared" ca="1" si="41"/>
        <v>37</v>
      </c>
      <c r="CB39" s="57">
        <f t="shared" ca="1" si="42"/>
        <v>33</v>
      </c>
      <c r="CC39" s="57">
        <f t="shared" ca="1" si="43"/>
        <v>2</v>
      </c>
      <c r="CD39" s="59">
        <f t="shared" ca="1" si="44"/>
        <v>33</v>
      </c>
      <c r="CE39" t="str">
        <f t="shared" ca="1" si="16"/>
        <v>Nigeria</v>
      </c>
      <c r="CF39" s="60">
        <f t="shared" ca="1" si="17"/>
        <v>39.4</v>
      </c>
    </row>
    <row r="40" spans="1:84">
      <c r="A40">
        <v>34</v>
      </c>
      <c r="B40">
        <f ca="1">tblCountries!A36</f>
        <v>34</v>
      </c>
      <c r="C40" t="str">
        <f ca="1">tblCountries!C36</f>
        <v>MZ</v>
      </c>
      <c r="D40" t="str">
        <f ca="1">tblCountries!B36</f>
        <v>Mozambique</v>
      </c>
      <c r="E40">
        <f ca="1">tblCountries!H36</f>
        <v>2</v>
      </c>
      <c r="G40">
        <f ca="1">tblCountries!I36</f>
        <v>2</v>
      </c>
      <c r="H40">
        <f t="shared" ca="1" si="49"/>
        <v>40.299999999999997</v>
      </c>
      <c r="K40" s="56">
        <f ca="1">IF($G40=0,"",RANK(H40,H$7:H$69)+COUNTIF(H$7:H40,H40)-1)</f>
        <v>32</v>
      </c>
      <c r="L40" s="57">
        <f t="shared" ca="1" si="18"/>
        <v>43</v>
      </c>
      <c r="M40" s="57">
        <f t="shared" ca="1" si="19"/>
        <v>34</v>
      </c>
      <c r="N40" s="57">
        <f t="shared" ca="1" si="20"/>
        <v>2</v>
      </c>
      <c r="O40" s="59">
        <f t="shared" ca="1" si="21"/>
        <v>34</v>
      </c>
      <c r="P40" t="str">
        <f t="shared" ca="1" si="22"/>
        <v>Rwanda</v>
      </c>
      <c r="Q40" s="60">
        <f t="shared" ca="1" si="23"/>
        <v>38.6</v>
      </c>
      <c r="AF40">
        <f t="shared" ca="1" si="50"/>
        <v>40.299999999999997</v>
      </c>
      <c r="AG40" s="56">
        <f ca="1">IF($E40&lt;0,"",RANK(AF40,AF$7:AF$61)+COUNTIF(AF$7:AF40,AF40)-1)</f>
        <v>32</v>
      </c>
      <c r="AH40" s="57">
        <f t="shared" ca="1" si="7"/>
        <v>43</v>
      </c>
      <c r="AI40" s="57">
        <f t="shared" ca="1" si="24"/>
        <v>34</v>
      </c>
      <c r="AJ40" s="57">
        <f t="shared" ca="1" si="45"/>
        <v>2</v>
      </c>
      <c r="AK40" s="59">
        <f t="shared" ca="1" si="46"/>
        <v>34</v>
      </c>
      <c r="AL40" t="str">
        <f t="shared" ca="1" si="47"/>
        <v>Rwanda</v>
      </c>
      <c r="AM40" s="60">
        <f t="shared" ca="1" si="48"/>
        <v>38.6</v>
      </c>
      <c r="AO40">
        <f t="shared" ca="1" si="51"/>
        <v>40.299999999999997</v>
      </c>
      <c r="AP40" s="56">
        <f ca="1">IF($G40=0,"",RANK(AO40,AO$7:AO$69)+COUNTIF(AO$7:AO40,AO40)-1)</f>
        <v>32</v>
      </c>
      <c r="AQ40" s="57">
        <f t="shared" ca="1" si="25"/>
        <v>43</v>
      </c>
      <c r="AR40" s="57">
        <f t="shared" ca="1" si="26"/>
        <v>34</v>
      </c>
      <c r="AS40" s="57">
        <f t="shared" ca="1" si="27"/>
        <v>2</v>
      </c>
      <c r="AT40" s="59">
        <f t="shared" ca="1" si="28"/>
        <v>34</v>
      </c>
      <c r="AU40" t="str">
        <f t="shared" ca="1" si="8"/>
        <v>Rwanda</v>
      </c>
      <c r="AV40" s="60">
        <f t="shared" ca="1" si="9"/>
        <v>38.6</v>
      </c>
      <c r="AX40">
        <f t="shared" ca="1" si="52"/>
        <v>56.3</v>
      </c>
      <c r="AY40" s="56">
        <f ca="1">IF($G40=0,"",RANK(AX40,AX$7:AX$69)+COUNTIF(AX$7:AX40,AX40)-1)</f>
        <v>21</v>
      </c>
      <c r="AZ40" s="57">
        <f t="shared" ca="1" si="29"/>
        <v>30</v>
      </c>
      <c r="BA40" s="57">
        <f t="shared" ca="1" si="30"/>
        <v>26</v>
      </c>
      <c r="BB40" s="57">
        <f t="shared" ca="1" si="31"/>
        <v>2</v>
      </c>
      <c r="BC40" s="59" t="str">
        <f t="shared" ca="1" si="32"/>
        <v>=26</v>
      </c>
      <c r="BD40" t="str">
        <f t="shared" ca="1" si="10"/>
        <v>Madagascar</v>
      </c>
      <c r="BE40" s="60">
        <f t="shared" ca="1" si="11"/>
        <v>50</v>
      </c>
      <c r="BG40">
        <f t="shared" ca="1" si="53"/>
        <v>38.9</v>
      </c>
      <c r="BH40" s="56">
        <f ca="1">IF($G40=0,"",RANK(BG40,BG$7:BG$69)+COUNTIF(BG$7:BG40,BG40)-1)</f>
        <v>31</v>
      </c>
      <c r="BI40" s="57">
        <f t="shared" ca="1" si="33"/>
        <v>29</v>
      </c>
      <c r="BJ40" s="57">
        <f t="shared" ca="1" si="34"/>
        <v>33</v>
      </c>
      <c r="BK40" s="57">
        <f t="shared" ca="1" si="35"/>
        <v>2</v>
      </c>
      <c r="BL40" s="59" t="str">
        <f t="shared" ca="1" si="36"/>
        <v>=33</v>
      </c>
      <c r="BM40" t="str">
        <f t="shared" ca="1" si="12"/>
        <v>Lebanon</v>
      </c>
      <c r="BN40" s="60">
        <f t="shared" ca="1" si="13"/>
        <v>38.299999999999997</v>
      </c>
      <c r="BP40">
        <f t="shared" ca="1" si="54"/>
        <v>25</v>
      </c>
      <c r="BQ40" s="56">
        <f ca="1">IF($G40=0,"",RANK(BP40,BP$7:BP$69)+COUNTIF(BP$7:BP40,BP40)-1)</f>
        <v>35</v>
      </c>
      <c r="BR40" s="57">
        <f t="shared" ca="1" si="37"/>
        <v>25</v>
      </c>
      <c r="BS40" s="57">
        <f t="shared" ca="1" si="38"/>
        <v>30</v>
      </c>
      <c r="BT40" s="57">
        <f t="shared" ca="1" si="39"/>
        <v>2</v>
      </c>
      <c r="BU40" s="59" t="str">
        <f t="shared" ca="1" si="40"/>
        <v>=30</v>
      </c>
      <c r="BV40" t="str">
        <f t="shared" ca="1" si="14"/>
        <v>Indonesia</v>
      </c>
      <c r="BW40" s="60">
        <f t="shared" ca="1" si="15"/>
        <v>25</v>
      </c>
      <c r="BY40">
        <f t="shared" ca="1" si="5"/>
        <v>40.299999999999997</v>
      </c>
      <c r="BZ40" s="56">
        <f ca="1">IF($G40=0,"",RANK(BY40,BY$7:BY$69)+COUNTIF(BY$7:BY40,BY40)-1)</f>
        <v>32</v>
      </c>
      <c r="CA40" s="57">
        <f t="shared" ca="1" si="41"/>
        <v>43</v>
      </c>
      <c r="CB40" s="57">
        <f t="shared" ca="1" si="42"/>
        <v>34</v>
      </c>
      <c r="CC40" s="57">
        <f t="shared" ca="1" si="43"/>
        <v>2</v>
      </c>
      <c r="CD40" s="59">
        <f t="shared" ca="1" si="44"/>
        <v>34</v>
      </c>
      <c r="CE40" t="str">
        <f t="shared" ca="1" si="16"/>
        <v>Rwanda</v>
      </c>
      <c r="CF40" s="60">
        <f t="shared" ca="1" si="17"/>
        <v>38.6</v>
      </c>
    </row>
    <row r="41" spans="1:84">
      <c r="A41">
        <v>35</v>
      </c>
      <c r="B41">
        <f ca="1">tblCountries!A37</f>
        <v>35</v>
      </c>
      <c r="C41" t="str">
        <f ca="1">tblCountries!C37</f>
        <v>NP</v>
      </c>
      <c r="D41" t="str">
        <f ca="1">tblCountries!B37</f>
        <v>Nepal</v>
      </c>
      <c r="E41">
        <f ca="1">tblCountries!H37</f>
        <v>2</v>
      </c>
      <c r="G41">
        <f ca="1">tblCountries!I37</f>
        <v>2</v>
      </c>
      <c r="H41">
        <f t="shared" ca="1" si="49"/>
        <v>30</v>
      </c>
      <c r="K41" s="56">
        <f ca="1">IF($G41=0,"",RANK(H41,H$7:H$69)+COUNTIF(H$7:H41,H41)-1)</f>
        <v>47</v>
      </c>
      <c r="L41" s="57">
        <f t="shared" ca="1" si="18"/>
        <v>15</v>
      </c>
      <c r="M41" s="57">
        <f t="shared" ca="1" si="19"/>
        <v>35</v>
      </c>
      <c r="N41" s="57">
        <f t="shared" ca="1" si="20"/>
        <v>2</v>
      </c>
      <c r="O41" s="59">
        <f t="shared" ca="1" si="21"/>
        <v>35</v>
      </c>
      <c r="P41" t="str">
        <f t="shared" ca="1" si="22"/>
        <v>DRC</v>
      </c>
      <c r="Q41" s="60">
        <f t="shared" ca="1" si="23"/>
        <v>36.799999999999997</v>
      </c>
      <c r="AF41">
        <f t="shared" ca="1" si="50"/>
        <v>30</v>
      </c>
      <c r="AG41" s="56">
        <f ca="1">IF($E41&lt;0,"",RANK(AF41,AF$7:AF$61)+COUNTIF(AF$7:AF41,AF41)-1)</f>
        <v>47</v>
      </c>
      <c r="AH41" s="57">
        <f t="shared" ca="1" si="7"/>
        <v>15</v>
      </c>
      <c r="AI41" s="57">
        <f t="shared" ca="1" si="24"/>
        <v>35</v>
      </c>
      <c r="AJ41" s="57">
        <f t="shared" ca="1" si="45"/>
        <v>2</v>
      </c>
      <c r="AK41" s="59">
        <f t="shared" ca="1" si="46"/>
        <v>35</v>
      </c>
      <c r="AL41" t="str">
        <f t="shared" ca="1" si="47"/>
        <v>DRC</v>
      </c>
      <c r="AM41" s="60">
        <f t="shared" ca="1" si="48"/>
        <v>36.799999999999997</v>
      </c>
      <c r="AO41">
        <f t="shared" ca="1" si="51"/>
        <v>30</v>
      </c>
      <c r="AP41" s="56">
        <f ca="1">IF($G41=0,"",RANK(AO41,AO$7:AO$69)+COUNTIF(AO$7:AO41,AO41)-1)</f>
        <v>47</v>
      </c>
      <c r="AQ41" s="57">
        <f t="shared" ca="1" si="25"/>
        <v>15</v>
      </c>
      <c r="AR41" s="57">
        <f t="shared" ca="1" si="26"/>
        <v>35</v>
      </c>
      <c r="AS41" s="57">
        <f t="shared" ca="1" si="27"/>
        <v>2</v>
      </c>
      <c r="AT41" s="59">
        <f t="shared" ca="1" si="28"/>
        <v>35</v>
      </c>
      <c r="AU41" t="str">
        <f t="shared" ca="1" si="8"/>
        <v>DRC</v>
      </c>
      <c r="AV41" s="60">
        <f t="shared" ca="1" si="9"/>
        <v>36.799999999999997</v>
      </c>
      <c r="AX41">
        <f t="shared" ca="1" si="52"/>
        <v>31.3</v>
      </c>
      <c r="AY41" s="56">
        <f ca="1">IF($G41=0,"",RANK(AX41,AX$7:AX$69)+COUNTIF(AX$7:AX41,AX41)-1)</f>
        <v>46</v>
      </c>
      <c r="AZ41" s="57">
        <f t="shared" ca="1" si="29"/>
        <v>4</v>
      </c>
      <c r="BA41" s="57">
        <f t="shared" ca="1" si="30"/>
        <v>35</v>
      </c>
      <c r="BB41" s="57">
        <f t="shared" ca="1" si="31"/>
        <v>2</v>
      </c>
      <c r="BC41" s="59" t="str">
        <f t="shared" ca="1" si="32"/>
        <v>=35</v>
      </c>
      <c r="BD41" t="str">
        <f t="shared" ca="1" si="10"/>
        <v>Bangladesh</v>
      </c>
      <c r="BE41" s="60">
        <f t="shared" ca="1" si="11"/>
        <v>43.8</v>
      </c>
      <c r="BG41">
        <f t="shared" ca="1" si="53"/>
        <v>20.8</v>
      </c>
      <c r="BH41" s="56">
        <f ca="1">IF($G41=0,"",RANK(BG41,BG$7:BG$69)+COUNTIF(BG$7:BG41,BG41)-1)</f>
        <v>55</v>
      </c>
      <c r="BI41" s="57">
        <f t="shared" ca="1" si="33"/>
        <v>47</v>
      </c>
      <c r="BJ41" s="57">
        <f t="shared" ca="1" si="34"/>
        <v>35</v>
      </c>
      <c r="BK41" s="57">
        <f t="shared" ca="1" si="35"/>
        <v>2</v>
      </c>
      <c r="BL41" s="59">
        <f t="shared" ca="1" si="36"/>
        <v>35</v>
      </c>
      <c r="BM41" t="str">
        <f t="shared" ca="1" si="12"/>
        <v>Tanzania</v>
      </c>
      <c r="BN41" s="60">
        <f t="shared" ca="1" si="13"/>
        <v>37.799999999999997</v>
      </c>
      <c r="BP41">
        <f t="shared" ca="1" si="54"/>
        <v>33.299999999999997</v>
      </c>
      <c r="BQ41" s="56">
        <f ca="1">IF($G41=0,"",RANK(BP41,BP$7:BP$69)+COUNTIF(BP$7:BP41,BP41)-1)</f>
        <v>28</v>
      </c>
      <c r="BR41" s="57">
        <f t="shared" ca="1" si="37"/>
        <v>34</v>
      </c>
      <c r="BS41" s="57">
        <f t="shared" ca="1" si="38"/>
        <v>30</v>
      </c>
      <c r="BT41" s="57">
        <f t="shared" ca="1" si="39"/>
        <v>2</v>
      </c>
      <c r="BU41" s="59" t="str">
        <f t="shared" ca="1" si="40"/>
        <v>=30</v>
      </c>
      <c r="BV41" t="str">
        <f t="shared" ca="1" si="14"/>
        <v>Mozambique</v>
      </c>
      <c r="BW41" s="60">
        <f t="shared" ca="1" si="15"/>
        <v>25</v>
      </c>
      <c r="BY41">
        <f t="shared" ca="1" si="5"/>
        <v>30</v>
      </c>
      <c r="BZ41" s="56">
        <f ca="1">IF($G41=0,"",RANK(BY41,BY$7:BY$69)+COUNTIF(BY$7:BY41,BY41)-1)</f>
        <v>47</v>
      </c>
      <c r="CA41" s="57">
        <f t="shared" ca="1" si="41"/>
        <v>15</v>
      </c>
      <c r="CB41" s="57">
        <f t="shared" ca="1" si="42"/>
        <v>35</v>
      </c>
      <c r="CC41" s="57">
        <f t="shared" ca="1" si="43"/>
        <v>2</v>
      </c>
      <c r="CD41" s="59">
        <f t="shared" ca="1" si="44"/>
        <v>35</v>
      </c>
      <c r="CE41" t="str">
        <f t="shared" ca="1" si="16"/>
        <v>DRC</v>
      </c>
      <c r="CF41" s="60">
        <f t="shared" ca="1" si="17"/>
        <v>36.799999999999997</v>
      </c>
    </row>
    <row r="42" spans="1:84">
      <c r="A42">
        <v>36</v>
      </c>
      <c r="B42">
        <f ca="1">tblCountries!A38</f>
        <v>36</v>
      </c>
      <c r="C42" t="str">
        <f ca="1">tblCountries!C38</f>
        <v>NI</v>
      </c>
      <c r="D42" t="str">
        <f ca="1">tblCountries!B38</f>
        <v>Nicaragua</v>
      </c>
      <c r="E42">
        <f ca="1">tblCountries!H38</f>
        <v>2</v>
      </c>
      <c r="G42">
        <f ca="1">tblCountries!I38</f>
        <v>2</v>
      </c>
      <c r="H42">
        <f t="shared" ca="1" si="49"/>
        <v>58.7</v>
      </c>
      <c r="K42" s="56">
        <f ca="1">IF($G42=0,"",RANK(H42,H$7:H$69)+COUNTIF(H$7:H42,H42)-1)</f>
        <v>7</v>
      </c>
      <c r="L42" s="57">
        <f t="shared" ca="1" si="18"/>
        <v>25</v>
      </c>
      <c r="M42" s="57">
        <f t="shared" ca="1" si="19"/>
        <v>36</v>
      </c>
      <c r="N42" s="57">
        <f t="shared" ca="1" si="20"/>
        <v>2</v>
      </c>
      <c r="O42" s="59">
        <f t="shared" ca="1" si="21"/>
        <v>36</v>
      </c>
      <c r="P42" t="str">
        <f t="shared" ca="1" si="22"/>
        <v>Indonesia</v>
      </c>
      <c r="Q42" s="60">
        <f t="shared" ca="1" si="23"/>
        <v>35.200000000000003</v>
      </c>
      <c r="AF42">
        <f t="shared" ca="1" si="50"/>
        <v>58.7</v>
      </c>
      <c r="AG42" s="56">
        <f ca="1">IF($E42&lt;0,"",RANK(AF42,AF$7:AF$61)+COUNTIF(AF$7:AF42,AF42)-1)</f>
        <v>7</v>
      </c>
      <c r="AH42" s="57">
        <f t="shared" ca="1" si="7"/>
        <v>25</v>
      </c>
      <c r="AI42" s="57">
        <f t="shared" ca="1" si="24"/>
        <v>36</v>
      </c>
      <c r="AJ42" s="57">
        <f t="shared" ca="1" si="45"/>
        <v>2</v>
      </c>
      <c r="AK42" s="59">
        <f t="shared" ca="1" si="46"/>
        <v>36</v>
      </c>
      <c r="AL42" t="str">
        <f t="shared" ca="1" si="47"/>
        <v>Indonesia</v>
      </c>
      <c r="AM42" s="60">
        <f t="shared" ca="1" si="48"/>
        <v>35.200000000000003</v>
      </c>
      <c r="AO42">
        <f t="shared" ca="1" si="51"/>
        <v>58.7</v>
      </c>
      <c r="AP42" s="56">
        <f ca="1">IF($G42=0,"",RANK(AO42,AO$7:AO$69)+COUNTIF(AO$7:AO42,AO42)-1)</f>
        <v>7</v>
      </c>
      <c r="AQ42" s="57">
        <f t="shared" ca="1" si="25"/>
        <v>25</v>
      </c>
      <c r="AR42" s="57">
        <f t="shared" ca="1" si="26"/>
        <v>36</v>
      </c>
      <c r="AS42" s="57">
        <f t="shared" ca="1" si="27"/>
        <v>2</v>
      </c>
      <c r="AT42" s="59">
        <f t="shared" ca="1" si="28"/>
        <v>36</v>
      </c>
      <c r="AU42" t="str">
        <f t="shared" ca="1" si="8"/>
        <v>Indonesia</v>
      </c>
      <c r="AV42" s="60">
        <f t="shared" ca="1" si="9"/>
        <v>35.200000000000003</v>
      </c>
      <c r="AX42">
        <f t="shared" ca="1" si="52"/>
        <v>56.3</v>
      </c>
      <c r="AY42" s="56">
        <f ca="1">IF($G42=0,"",RANK(AX42,AX$7:AX$69)+COUNTIF(AX$7:AX42,AX42)-1)</f>
        <v>22</v>
      </c>
      <c r="AZ42" s="57">
        <f t="shared" ca="1" si="29"/>
        <v>11</v>
      </c>
      <c r="BA42" s="57">
        <f t="shared" ca="1" si="30"/>
        <v>35</v>
      </c>
      <c r="BB42" s="57">
        <f t="shared" ca="1" si="31"/>
        <v>2</v>
      </c>
      <c r="BC42" s="59" t="str">
        <f t="shared" ca="1" si="32"/>
        <v>=35</v>
      </c>
      <c r="BD42" t="str">
        <f t="shared" ca="1" si="10"/>
        <v>China</v>
      </c>
      <c r="BE42" s="60">
        <f t="shared" ca="1" si="11"/>
        <v>43.8</v>
      </c>
      <c r="BG42">
        <f t="shared" ca="1" si="53"/>
        <v>47.5</v>
      </c>
      <c r="BH42" s="56">
        <f ca="1">IF($G42=0,"",RANK(BG42,BG$7:BG$69)+COUNTIF(BG$7:BG42,BG42)-1)</f>
        <v>20</v>
      </c>
      <c r="BI42" s="57">
        <f t="shared" ca="1" si="33"/>
        <v>1</v>
      </c>
      <c r="BJ42" s="57">
        <f t="shared" ca="1" si="34"/>
        <v>36</v>
      </c>
      <c r="BK42" s="57">
        <f t="shared" ca="1" si="35"/>
        <v>2</v>
      </c>
      <c r="BL42" s="59">
        <f t="shared" ca="1" si="36"/>
        <v>36</v>
      </c>
      <c r="BM42" t="str">
        <f t="shared" ca="1" si="12"/>
        <v>Argentina</v>
      </c>
      <c r="BN42" s="60">
        <f t="shared" ca="1" si="13"/>
        <v>37.5</v>
      </c>
      <c r="BP42">
        <f t="shared" ca="1" si="54"/>
        <v>66.7</v>
      </c>
      <c r="BQ42" s="56">
        <f ca="1">IF($G42=0,"",RANK(BP42,BP$7:BP$69)+COUNTIF(BP$7:BP42,BP42)-1)</f>
        <v>5</v>
      </c>
      <c r="BR42" s="57">
        <f t="shared" ca="1" si="37"/>
        <v>37</v>
      </c>
      <c r="BS42" s="57">
        <f t="shared" ca="1" si="38"/>
        <v>30</v>
      </c>
      <c r="BT42" s="57">
        <f t="shared" ca="1" si="39"/>
        <v>2</v>
      </c>
      <c r="BU42" s="59" t="str">
        <f t="shared" ca="1" si="40"/>
        <v>=30</v>
      </c>
      <c r="BV42" t="str">
        <f t="shared" ca="1" si="14"/>
        <v>Nigeria</v>
      </c>
      <c r="BW42" s="60">
        <f t="shared" ca="1" si="15"/>
        <v>25</v>
      </c>
      <c r="BY42">
        <f t="shared" ca="1" si="5"/>
        <v>58.7</v>
      </c>
      <c r="BZ42" s="56">
        <f ca="1">IF($G42=0,"",RANK(BY42,BY$7:BY$69)+COUNTIF(BY$7:BY42,BY42)-1)</f>
        <v>7</v>
      </c>
      <c r="CA42" s="57">
        <f t="shared" ca="1" si="41"/>
        <v>25</v>
      </c>
      <c r="CB42" s="57">
        <f t="shared" ca="1" si="42"/>
        <v>36</v>
      </c>
      <c r="CC42" s="57">
        <f t="shared" ca="1" si="43"/>
        <v>2</v>
      </c>
      <c r="CD42" s="59">
        <f t="shared" ca="1" si="44"/>
        <v>36</v>
      </c>
      <c r="CE42" t="str">
        <f t="shared" ca="1" si="16"/>
        <v>Indonesia</v>
      </c>
      <c r="CF42" s="60">
        <f t="shared" ca="1" si="17"/>
        <v>35.200000000000003</v>
      </c>
    </row>
    <row r="43" spans="1:84">
      <c r="A43">
        <v>37</v>
      </c>
      <c r="B43">
        <f ca="1">tblCountries!A39</f>
        <v>37</v>
      </c>
      <c r="C43" t="str">
        <f ca="1">tblCountries!C39</f>
        <v>NG</v>
      </c>
      <c r="D43" t="str">
        <f ca="1">tblCountries!B39</f>
        <v>Nigeria</v>
      </c>
      <c r="E43">
        <f ca="1">tblCountries!H39</f>
        <v>2</v>
      </c>
      <c r="G43">
        <f ca="1">tblCountries!I39</f>
        <v>2</v>
      </c>
      <c r="H43">
        <f t="shared" ca="1" si="49"/>
        <v>39.4</v>
      </c>
      <c r="K43" s="56">
        <f ca="1">IF($G43=0,"",RANK(H43,H$7:H$69)+COUNTIF(H$7:H43,H43)-1)</f>
        <v>33</v>
      </c>
      <c r="L43" s="57">
        <f t="shared" ca="1" si="18"/>
        <v>11</v>
      </c>
      <c r="M43" s="57">
        <f t="shared" ca="1" si="19"/>
        <v>37</v>
      </c>
      <c r="N43" s="57">
        <f t="shared" ca="1" si="20"/>
        <v>2</v>
      </c>
      <c r="O43" s="59">
        <f t="shared" ca="1" si="21"/>
        <v>37</v>
      </c>
      <c r="P43" t="str">
        <f t="shared" ca="1" si="22"/>
        <v>China</v>
      </c>
      <c r="Q43" s="60">
        <f t="shared" ca="1" si="23"/>
        <v>34.1</v>
      </c>
      <c r="AF43">
        <f t="shared" ca="1" si="50"/>
        <v>39.4</v>
      </c>
      <c r="AG43" s="56">
        <f ca="1">IF($E43&lt;0,"",RANK(AF43,AF$7:AF$61)+COUNTIF(AF$7:AF43,AF43)-1)</f>
        <v>33</v>
      </c>
      <c r="AH43" s="57">
        <f t="shared" ca="1" si="7"/>
        <v>11</v>
      </c>
      <c r="AI43" s="57">
        <f t="shared" ca="1" si="24"/>
        <v>37</v>
      </c>
      <c r="AJ43" s="57">
        <f t="shared" ca="1" si="45"/>
        <v>2</v>
      </c>
      <c r="AK43" s="59">
        <f t="shared" ca="1" si="46"/>
        <v>37</v>
      </c>
      <c r="AL43" t="str">
        <f t="shared" ca="1" si="47"/>
        <v>China</v>
      </c>
      <c r="AM43" s="60">
        <f t="shared" ca="1" si="48"/>
        <v>34.1</v>
      </c>
      <c r="AO43">
        <f t="shared" ca="1" si="51"/>
        <v>39.4</v>
      </c>
      <c r="AP43" s="56">
        <f ca="1">IF($G43=0,"",RANK(AO43,AO$7:AO$69)+COUNTIF(AO$7:AO43,AO43)-1)</f>
        <v>33</v>
      </c>
      <c r="AQ43" s="57">
        <f t="shared" ca="1" si="25"/>
        <v>11</v>
      </c>
      <c r="AR43" s="57">
        <f t="shared" ca="1" si="26"/>
        <v>37</v>
      </c>
      <c r="AS43" s="57">
        <f t="shared" ca="1" si="27"/>
        <v>2</v>
      </c>
      <c r="AT43" s="59">
        <f t="shared" ca="1" si="28"/>
        <v>37</v>
      </c>
      <c r="AU43" t="str">
        <f t="shared" ca="1" si="8"/>
        <v>China</v>
      </c>
      <c r="AV43" s="60">
        <f t="shared" ca="1" si="9"/>
        <v>34.1</v>
      </c>
      <c r="AX43">
        <f t="shared" ca="1" si="52"/>
        <v>56.3</v>
      </c>
      <c r="AY43" s="56">
        <f ca="1">IF($G43=0,"",RANK(AX43,AX$7:AX$69)+COUNTIF(AX$7:AX43,AX43)-1)</f>
        <v>23</v>
      </c>
      <c r="AZ43" s="57">
        <f t="shared" ca="1" si="29"/>
        <v>13</v>
      </c>
      <c r="BA43" s="57">
        <f t="shared" ca="1" si="30"/>
        <v>35</v>
      </c>
      <c r="BB43" s="57">
        <f t="shared" ca="1" si="31"/>
        <v>2</v>
      </c>
      <c r="BC43" s="59" t="str">
        <f t="shared" ca="1" si="32"/>
        <v>=35</v>
      </c>
      <c r="BD43" t="str">
        <f t="shared" ca="1" si="10"/>
        <v>Costa Rica</v>
      </c>
      <c r="BE43" s="60">
        <f t="shared" ca="1" si="11"/>
        <v>43.8</v>
      </c>
      <c r="BG43">
        <f t="shared" ca="1" si="53"/>
        <v>34.200000000000003</v>
      </c>
      <c r="BH43" s="56">
        <f ca="1">IF($G43=0,"",RANK(BG43,BG$7:BG$69)+COUNTIF(BG$7:BG43,BG43)-1)</f>
        <v>43</v>
      </c>
      <c r="BI43" s="57">
        <f t="shared" ca="1" si="33"/>
        <v>53</v>
      </c>
      <c r="BJ43" s="57">
        <f t="shared" ca="1" si="34"/>
        <v>37</v>
      </c>
      <c r="BK43" s="57">
        <f t="shared" ca="1" si="35"/>
        <v>2</v>
      </c>
      <c r="BL43" s="59">
        <f t="shared" ca="1" si="36"/>
        <v>37</v>
      </c>
      <c r="BM43" t="str">
        <f t="shared" ca="1" si="12"/>
        <v>Venezuela</v>
      </c>
      <c r="BN43" s="60">
        <f t="shared" ca="1" si="13"/>
        <v>37.200000000000003</v>
      </c>
      <c r="BP43">
        <f t="shared" ca="1" si="54"/>
        <v>25</v>
      </c>
      <c r="BQ43" s="56">
        <f ca="1">IF($G43=0,"",RANK(BP43,BP$7:BP$69)+COUNTIF(BP$7:BP43,BP43)-1)</f>
        <v>36</v>
      </c>
      <c r="BR43" s="57">
        <f t="shared" ca="1" si="37"/>
        <v>43</v>
      </c>
      <c r="BS43" s="57">
        <f t="shared" ca="1" si="38"/>
        <v>30</v>
      </c>
      <c r="BT43" s="57">
        <f t="shared" ca="1" si="39"/>
        <v>2</v>
      </c>
      <c r="BU43" s="59" t="str">
        <f t="shared" ca="1" si="40"/>
        <v>=30</v>
      </c>
      <c r="BV43" t="str">
        <f t="shared" ca="1" si="14"/>
        <v>Rwanda</v>
      </c>
      <c r="BW43" s="60">
        <f t="shared" ca="1" si="15"/>
        <v>25</v>
      </c>
      <c r="BY43">
        <f t="shared" ca="1" si="5"/>
        <v>39.4</v>
      </c>
      <c r="BZ43" s="56">
        <f ca="1">IF($G43=0,"",RANK(BY43,BY$7:BY$69)+COUNTIF(BY$7:BY43,BY43)-1)</f>
        <v>33</v>
      </c>
      <c r="CA43" s="57">
        <f t="shared" ca="1" si="41"/>
        <v>11</v>
      </c>
      <c r="CB43" s="57">
        <f t="shared" ca="1" si="42"/>
        <v>37</v>
      </c>
      <c r="CC43" s="57">
        <f t="shared" ca="1" si="43"/>
        <v>2</v>
      </c>
      <c r="CD43" s="59">
        <f t="shared" ca="1" si="44"/>
        <v>37</v>
      </c>
      <c r="CE43" t="str">
        <f t="shared" ca="1" si="16"/>
        <v>China</v>
      </c>
      <c r="CF43" s="60">
        <f t="shared" ca="1" si="17"/>
        <v>34.1</v>
      </c>
    </row>
    <row r="44" spans="1:84">
      <c r="A44">
        <v>38</v>
      </c>
      <c r="B44">
        <f ca="1">tblCountries!A40</f>
        <v>38</v>
      </c>
      <c r="C44" t="str">
        <f ca="1">tblCountries!C40</f>
        <v>PK</v>
      </c>
      <c r="D44" t="str">
        <f ca="1">tblCountries!B40</f>
        <v>Pakistan</v>
      </c>
      <c r="E44">
        <f ca="1">tblCountries!H40</f>
        <v>2</v>
      </c>
      <c r="G44">
        <f ca="1">tblCountries!I40</f>
        <v>2</v>
      </c>
      <c r="H44">
        <f t="shared" ca="1" si="49"/>
        <v>56.5</v>
      </c>
      <c r="K44" s="56">
        <f ca="1">IF($G44=0,"",RANK(H44,H$7:H$69)+COUNTIF(H$7:H44,H44)-1)</f>
        <v>11</v>
      </c>
      <c r="L44" s="57">
        <f t="shared" ca="1" si="18"/>
        <v>22</v>
      </c>
      <c r="M44" s="57">
        <f t="shared" ca="1" si="19"/>
        <v>38</v>
      </c>
      <c r="N44" s="57">
        <f t="shared" ca="1" si="20"/>
        <v>2</v>
      </c>
      <c r="O44" s="59">
        <f t="shared" ca="1" si="21"/>
        <v>38</v>
      </c>
      <c r="P44" t="str">
        <f t="shared" ca="1" si="22"/>
        <v>Haiti</v>
      </c>
      <c r="Q44" s="60">
        <f t="shared" ca="1" si="23"/>
        <v>33.4</v>
      </c>
      <c r="AF44">
        <f t="shared" ca="1" si="50"/>
        <v>56.5</v>
      </c>
      <c r="AG44" s="56">
        <f ca="1">IF($E44&lt;0,"",RANK(AF44,AF$7:AF$61)+COUNTIF(AF$7:AF44,AF44)-1)</f>
        <v>11</v>
      </c>
      <c r="AH44" s="57">
        <f t="shared" ca="1" si="7"/>
        <v>22</v>
      </c>
      <c r="AI44" s="57">
        <f t="shared" ca="1" si="24"/>
        <v>38</v>
      </c>
      <c r="AJ44" s="57">
        <f t="shared" ca="1" si="45"/>
        <v>2</v>
      </c>
      <c r="AK44" s="59">
        <f t="shared" ca="1" si="46"/>
        <v>38</v>
      </c>
      <c r="AL44" t="str">
        <f t="shared" ca="1" si="47"/>
        <v>Haiti</v>
      </c>
      <c r="AM44" s="60">
        <f t="shared" ca="1" si="48"/>
        <v>33.4</v>
      </c>
      <c r="AO44">
        <f t="shared" ca="1" si="51"/>
        <v>56.5</v>
      </c>
      <c r="AP44" s="56">
        <f ca="1">IF($G44=0,"",RANK(AO44,AO$7:AO$69)+COUNTIF(AO$7:AO44,AO44)-1)</f>
        <v>11</v>
      </c>
      <c r="AQ44" s="57">
        <f t="shared" ca="1" si="25"/>
        <v>22</v>
      </c>
      <c r="AR44" s="57">
        <f t="shared" ca="1" si="26"/>
        <v>38</v>
      </c>
      <c r="AS44" s="57">
        <f t="shared" ca="1" si="27"/>
        <v>2</v>
      </c>
      <c r="AT44" s="59">
        <f t="shared" ca="1" si="28"/>
        <v>38</v>
      </c>
      <c r="AU44" t="str">
        <f t="shared" ca="1" si="8"/>
        <v>Haiti</v>
      </c>
      <c r="AV44" s="60">
        <f t="shared" ca="1" si="9"/>
        <v>33.4</v>
      </c>
      <c r="AX44">
        <f t="shared" ca="1" si="52"/>
        <v>75</v>
      </c>
      <c r="AY44" s="56">
        <f ca="1">IF($G44=0,"",RANK(AX44,AX$7:AX$69)+COUNTIF(AX$7:AX44,AX44)-1)</f>
        <v>8</v>
      </c>
      <c r="AZ44" s="57">
        <f t="shared" ca="1" si="29"/>
        <v>18</v>
      </c>
      <c r="BA44" s="57">
        <f t="shared" ca="1" si="30"/>
        <v>35</v>
      </c>
      <c r="BB44" s="57">
        <f t="shared" ca="1" si="31"/>
        <v>2</v>
      </c>
      <c r="BC44" s="59" t="str">
        <f t="shared" ca="1" si="32"/>
        <v>=35</v>
      </c>
      <c r="BD44" t="str">
        <f t="shared" ca="1" si="10"/>
        <v>Ethiopia</v>
      </c>
      <c r="BE44" s="60">
        <f t="shared" ca="1" si="11"/>
        <v>43.8</v>
      </c>
      <c r="BG44">
        <f t="shared" ca="1" si="53"/>
        <v>49.2</v>
      </c>
      <c r="BH44" s="56">
        <f ca="1">IF($G44=0,"",RANK(BG44,BG$7:BG$69)+COUNTIF(BG$7:BG44,BG44)-1)</f>
        <v>19</v>
      </c>
      <c r="BI44" s="57">
        <f t="shared" ca="1" si="33"/>
        <v>3</v>
      </c>
      <c r="BJ44" s="57">
        <f t="shared" ca="1" si="34"/>
        <v>38</v>
      </c>
      <c r="BK44" s="57">
        <f t="shared" ca="1" si="35"/>
        <v>2</v>
      </c>
      <c r="BL44" s="59">
        <f t="shared" ca="1" si="36"/>
        <v>38</v>
      </c>
      <c r="BM44" t="str">
        <f t="shared" ca="1" si="12"/>
        <v>Azerbaijan</v>
      </c>
      <c r="BN44" s="60">
        <f t="shared" ca="1" si="13"/>
        <v>36.4</v>
      </c>
      <c r="BP44">
        <f t="shared" ca="1" si="54"/>
        <v>41.7</v>
      </c>
      <c r="BQ44" s="56">
        <f ca="1">IF($G44=0,"",RANK(BP44,BP$7:BP$69)+COUNTIF(BP$7:BP44,BP44)-1)</f>
        <v>16</v>
      </c>
      <c r="BR44" s="57">
        <f t="shared" ca="1" si="37"/>
        <v>48</v>
      </c>
      <c r="BS44" s="57">
        <f t="shared" ca="1" si="38"/>
        <v>30</v>
      </c>
      <c r="BT44" s="57">
        <f t="shared" ca="1" si="39"/>
        <v>2</v>
      </c>
      <c r="BU44" s="59" t="str">
        <f t="shared" ca="1" si="40"/>
        <v>=30</v>
      </c>
      <c r="BV44" t="str">
        <f t="shared" ca="1" si="14"/>
        <v>Thailand</v>
      </c>
      <c r="BW44" s="60">
        <f t="shared" ca="1" si="15"/>
        <v>25</v>
      </c>
      <c r="BY44">
        <f t="shared" ca="1" si="5"/>
        <v>56.5</v>
      </c>
      <c r="BZ44" s="56">
        <f ca="1">IF($G44=0,"",RANK(BY44,BY$7:BY$69)+COUNTIF(BY$7:BY44,BY44)-1)</f>
        <v>11</v>
      </c>
      <c r="CA44" s="57">
        <f t="shared" ca="1" si="41"/>
        <v>22</v>
      </c>
      <c r="CB44" s="57">
        <f t="shared" ca="1" si="42"/>
        <v>38</v>
      </c>
      <c r="CC44" s="57">
        <f t="shared" ca="1" si="43"/>
        <v>2</v>
      </c>
      <c r="CD44" s="59">
        <f t="shared" ca="1" si="44"/>
        <v>38</v>
      </c>
      <c r="CE44" t="str">
        <f t="shared" ca="1" si="16"/>
        <v>Haiti</v>
      </c>
      <c r="CF44" s="60">
        <f t="shared" ca="1" si="17"/>
        <v>33.4</v>
      </c>
    </row>
    <row r="45" spans="1:84">
      <c r="A45">
        <v>39</v>
      </c>
      <c r="B45">
        <f ca="1">tblCountries!A41</f>
        <v>39</v>
      </c>
      <c r="C45" t="str">
        <f ca="1">tblCountries!C41</f>
        <v>PA</v>
      </c>
      <c r="D45" t="str">
        <f ca="1">tblCountries!B41</f>
        <v>Panama</v>
      </c>
      <c r="E45">
        <f ca="1">tblCountries!H41</f>
        <v>2</v>
      </c>
      <c r="G45">
        <f ca="1">tblCountries!I41</f>
        <v>2</v>
      </c>
      <c r="H45">
        <f t="shared" ca="1" si="49"/>
        <v>50.9</v>
      </c>
      <c r="K45" s="56">
        <f ca="1">IF($G45=0,"",RANK(H45,H$7:H$69)+COUNTIF(H$7:H45,H45)-1)</f>
        <v>16</v>
      </c>
      <c r="L45" s="57">
        <f t="shared" ca="1" si="18"/>
        <v>44</v>
      </c>
      <c r="M45" s="57">
        <f t="shared" ca="1" si="19"/>
        <v>39</v>
      </c>
      <c r="N45" s="57">
        <f t="shared" ca="1" si="20"/>
        <v>2</v>
      </c>
      <c r="O45" s="59">
        <f t="shared" ca="1" si="21"/>
        <v>39</v>
      </c>
      <c r="P45" t="str">
        <f t="shared" ca="1" si="22"/>
        <v>Senegal</v>
      </c>
      <c r="Q45" s="60">
        <f t="shared" ca="1" si="23"/>
        <v>32.6</v>
      </c>
      <c r="AF45">
        <f t="shared" ca="1" si="50"/>
        <v>50.9</v>
      </c>
      <c r="AG45" s="56">
        <f ca="1">IF($E45&lt;0,"",RANK(AF45,AF$7:AF$61)+COUNTIF(AF$7:AF45,AF45)-1)</f>
        <v>16</v>
      </c>
      <c r="AH45" s="57">
        <f t="shared" ca="1" si="7"/>
        <v>44</v>
      </c>
      <c r="AI45" s="57">
        <f t="shared" ca="1" si="24"/>
        <v>39</v>
      </c>
      <c r="AJ45" s="57">
        <f t="shared" ca="1" si="45"/>
        <v>2</v>
      </c>
      <c r="AK45" s="59">
        <f t="shared" ca="1" si="46"/>
        <v>39</v>
      </c>
      <c r="AL45" t="str">
        <f t="shared" ca="1" si="47"/>
        <v>Senegal</v>
      </c>
      <c r="AM45" s="60">
        <f t="shared" ca="1" si="48"/>
        <v>32.6</v>
      </c>
      <c r="AO45">
        <f t="shared" ca="1" si="51"/>
        <v>50.9</v>
      </c>
      <c r="AP45" s="56">
        <f ca="1">IF($G45=0,"",RANK(AO45,AO$7:AO$69)+COUNTIF(AO$7:AO45,AO45)-1)</f>
        <v>16</v>
      </c>
      <c r="AQ45" s="57">
        <f t="shared" ca="1" si="25"/>
        <v>44</v>
      </c>
      <c r="AR45" s="57">
        <f t="shared" ca="1" si="26"/>
        <v>39</v>
      </c>
      <c r="AS45" s="57">
        <f t="shared" ca="1" si="27"/>
        <v>2</v>
      </c>
      <c r="AT45" s="59">
        <f t="shared" ca="1" si="28"/>
        <v>39</v>
      </c>
      <c r="AU45" t="str">
        <f t="shared" ca="1" si="8"/>
        <v>Senegal</v>
      </c>
      <c r="AV45" s="60">
        <f t="shared" ca="1" si="9"/>
        <v>32.6</v>
      </c>
      <c r="AX45">
        <f t="shared" ca="1" si="52"/>
        <v>56.3</v>
      </c>
      <c r="AY45" s="56">
        <f ca="1">IF($G45=0,"",RANK(AX45,AX$7:AX$69)+COUNTIF(AX$7:AX45,AX45)-1)</f>
        <v>24</v>
      </c>
      <c r="AZ45" s="57">
        <f t="shared" ca="1" si="29"/>
        <v>22</v>
      </c>
      <c r="BA45" s="57">
        <f t="shared" ca="1" si="30"/>
        <v>35</v>
      </c>
      <c r="BB45" s="57">
        <f t="shared" ca="1" si="31"/>
        <v>2</v>
      </c>
      <c r="BC45" s="59" t="str">
        <f t="shared" ca="1" si="32"/>
        <v>=35</v>
      </c>
      <c r="BD45" t="str">
        <f t="shared" ca="1" si="10"/>
        <v>Haiti</v>
      </c>
      <c r="BE45" s="60">
        <f t="shared" ca="1" si="11"/>
        <v>43.8</v>
      </c>
      <c r="BG45">
        <f t="shared" ca="1" si="53"/>
        <v>58.3</v>
      </c>
      <c r="BH45" s="56">
        <f ca="1">IF($G45=0,"",RANK(BG45,BG$7:BG$69)+COUNTIF(BG$7:BG45,BG45)-1)</f>
        <v>5</v>
      </c>
      <c r="BI45" s="57">
        <f t="shared" ca="1" si="33"/>
        <v>55</v>
      </c>
      <c r="BJ45" s="57">
        <f t="shared" ca="1" si="34"/>
        <v>39</v>
      </c>
      <c r="BK45" s="57">
        <f t="shared" ca="1" si="35"/>
        <v>2</v>
      </c>
      <c r="BL45" s="59">
        <f t="shared" ca="1" si="36"/>
        <v>39</v>
      </c>
      <c r="BM45" t="str">
        <f t="shared" ca="1" si="12"/>
        <v>Yemen</v>
      </c>
      <c r="BN45" s="60">
        <f t="shared" ca="1" si="13"/>
        <v>35.6</v>
      </c>
      <c r="BP45">
        <f t="shared" ca="1" si="54"/>
        <v>41.7</v>
      </c>
      <c r="BQ45" s="56">
        <f ca="1">IF($G45=0,"",RANK(BP45,BP$7:BP$69)+COUNTIF(BP$7:BP45,BP45)-1)</f>
        <v>17</v>
      </c>
      <c r="BR45" s="57">
        <f t="shared" ca="1" si="37"/>
        <v>55</v>
      </c>
      <c r="BS45" s="57">
        <f t="shared" ca="1" si="38"/>
        <v>30</v>
      </c>
      <c r="BT45" s="57">
        <f t="shared" ca="1" si="39"/>
        <v>2</v>
      </c>
      <c r="BU45" s="59" t="str">
        <f t="shared" ca="1" si="40"/>
        <v>=30</v>
      </c>
      <c r="BV45" t="str">
        <f t="shared" ca="1" si="14"/>
        <v>Yemen</v>
      </c>
      <c r="BW45" s="60">
        <f t="shared" ca="1" si="15"/>
        <v>25</v>
      </c>
      <c r="BY45">
        <f t="shared" ca="1" si="5"/>
        <v>50.9</v>
      </c>
      <c r="BZ45" s="56">
        <f ca="1">IF($G45=0,"",RANK(BY45,BY$7:BY$69)+COUNTIF(BY$7:BY45,BY45)-1)</f>
        <v>16</v>
      </c>
      <c r="CA45" s="57">
        <f t="shared" ca="1" si="41"/>
        <v>44</v>
      </c>
      <c r="CB45" s="57">
        <f t="shared" ca="1" si="42"/>
        <v>39</v>
      </c>
      <c r="CC45" s="57">
        <f t="shared" ca="1" si="43"/>
        <v>2</v>
      </c>
      <c r="CD45" s="59">
        <f t="shared" ca="1" si="44"/>
        <v>39</v>
      </c>
      <c r="CE45" t="str">
        <f t="shared" ca="1" si="16"/>
        <v>Senegal</v>
      </c>
      <c r="CF45" s="60">
        <f t="shared" ca="1" si="17"/>
        <v>32.6</v>
      </c>
    </row>
    <row r="46" spans="1:84">
      <c r="A46">
        <v>40</v>
      </c>
      <c r="B46">
        <f ca="1">tblCountries!A42</f>
        <v>40</v>
      </c>
      <c r="C46" t="str">
        <f ca="1">tblCountries!C42</f>
        <v>PY</v>
      </c>
      <c r="D46" t="str">
        <f ca="1">tblCountries!B42</f>
        <v>Paraguay</v>
      </c>
      <c r="E46">
        <f ca="1">tblCountries!H42</f>
        <v>2</v>
      </c>
      <c r="G46">
        <f ca="1">tblCountries!I42</f>
        <v>2</v>
      </c>
      <c r="H46">
        <f t="shared" ca="1" si="49"/>
        <v>49.5</v>
      </c>
      <c r="K46" s="56">
        <f ca="1">IF($G46=0,"",RANK(H46,H$7:H$69)+COUNTIF(H$7:H46,H46)-1)</f>
        <v>17</v>
      </c>
      <c r="L46" s="57">
        <f t="shared" ca="1" si="18"/>
        <v>30</v>
      </c>
      <c r="M46" s="57">
        <f t="shared" ca="1" si="19"/>
        <v>40</v>
      </c>
      <c r="N46" s="57">
        <f t="shared" ca="1" si="20"/>
        <v>2</v>
      </c>
      <c r="O46" s="59">
        <f t="shared" ca="1" si="21"/>
        <v>40</v>
      </c>
      <c r="P46" t="str">
        <f t="shared" ca="1" si="22"/>
        <v>Madagascar</v>
      </c>
      <c r="Q46" s="60">
        <f t="shared" ca="1" si="23"/>
        <v>32.299999999999997</v>
      </c>
      <c r="AF46">
        <f t="shared" ca="1" si="50"/>
        <v>49.5</v>
      </c>
      <c r="AG46" s="56">
        <f ca="1">IF($E46&lt;0,"",RANK(AF46,AF$7:AF$61)+COUNTIF(AF$7:AF46,AF46)-1)</f>
        <v>17</v>
      </c>
      <c r="AH46" s="57">
        <f t="shared" ca="1" si="7"/>
        <v>30</v>
      </c>
      <c r="AI46" s="57">
        <f t="shared" ca="1" si="24"/>
        <v>40</v>
      </c>
      <c r="AJ46" s="57">
        <f t="shared" ca="1" si="45"/>
        <v>2</v>
      </c>
      <c r="AK46" s="59">
        <f t="shared" ca="1" si="46"/>
        <v>40</v>
      </c>
      <c r="AL46" t="str">
        <f t="shared" ca="1" si="47"/>
        <v>Madagascar</v>
      </c>
      <c r="AM46" s="60">
        <f t="shared" ca="1" si="48"/>
        <v>32.299999999999997</v>
      </c>
      <c r="AO46">
        <f t="shared" ca="1" si="51"/>
        <v>49.5</v>
      </c>
      <c r="AP46" s="56">
        <f ca="1">IF($G46=0,"",RANK(AO46,AO$7:AO$69)+COUNTIF(AO$7:AO46,AO46)-1)</f>
        <v>17</v>
      </c>
      <c r="AQ46" s="57">
        <f t="shared" ca="1" si="25"/>
        <v>30</v>
      </c>
      <c r="AR46" s="57">
        <f t="shared" ca="1" si="26"/>
        <v>40</v>
      </c>
      <c r="AS46" s="57">
        <f t="shared" ca="1" si="27"/>
        <v>2</v>
      </c>
      <c r="AT46" s="59">
        <f t="shared" ca="1" si="28"/>
        <v>40</v>
      </c>
      <c r="AU46" t="str">
        <f t="shared" ca="1" si="8"/>
        <v>Madagascar</v>
      </c>
      <c r="AV46" s="60">
        <f t="shared" ca="1" si="9"/>
        <v>32.299999999999997</v>
      </c>
      <c r="AX46">
        <f t="shared" ca="1" si="52"/>
        <v>62.5</v>
      </c>
      <c r="AY46" s="56">
        <f ca="1">IF($G46=0,"",RANK(AX46,AX$7:AX$69)+COUNTIF(AX$7:AX46,AX46)-1)</f>
        <v>17</v>
      </c>
      <c r="AZ46" s="57">
        <f t="shared" ca="1" si="29"/>
        <v>25</v>
      </c>
      <c r="BA46" s="57">
        <f t="shared" ca="1" si="30"/>
        <v>35</v>
      </c>
      <c r="BB46" s="57">
        <f t="shared" ca="1" si="31"/>
        <v>2</v>
      </c>
      <c r="BC46" s="59" t="str">
        <f t="shared" ca="1" si="32"/>
        <v>=35</v>
      </c>
      <c r="BD46" t="str">
        <f t="shared" ca="1" si="10"/>
        <v>Indonesia</v>
      </c>
      <c r="BE46" s="60">
        <f t="shared" ca="1" si="11"/>
        <v>43.8</v>
      </c>
      <c r="BG46">
        <f t="shared" ca="1" si="53"/>
        <v>38.9</v>
      </c>
      <c r="BH46" s="56">
        <f ca="1">IF($G46=0,"",RANK(BG46,BG$7:BG$69)+COUNTIF(BG$7:BG46,BG46)-1)</f>
        <v>32</v>
      </c>
      <c r="BI46" s="57">
        <f t="shared" ca="1" si="33"/>
        <v>18</v>
      </c>
      <c r="BJ46" s="57">
        <f t="shared" ca="1" si="34"/>
        <v>40</v>
      </c>
      <c r="BK46" s="57">
        <f t="shared" ca="1" si="35"/>
        <v>2</v>
      </c>
      <c r="BL46" s="59">
        <f t="shared" ca="1" si="36"/>
        <v>40</v>
      </c>
      <c r="BM46" t="str">
        <f t="shared" ca="1" si="12"/>
        <v>Ethiopia</v>
      </c>
      <c r="BN46" s="60">
        <f t="shared" ca="1" si="13"/>
        <v>35.299999999999997</v>
      </c>
      <c r="BP46">
        <f t="shared" ca="1" si="54"/>
        <v>41.7</v>
      </c>
      <c r="BQ46" s="56">
        <f ca="1">IF($G46=0,"",RANK(BP46,BP$7:BP$69)+COUNTIF(BP$7:BP46,BP46)-1)</f>
        <v>18</v>
      </c>
      <c r="BR46" s="57">
        <f t="shared" ca="1" si="37"/>
        <v>3</v>
      </c>
      <c r="BS46" s="57">
        <f t="shared" ca="1" si="38"/>
        <v>40</v>
      </c>
      <c r="BT46" s="57">
        <f t="shared" ca="1" si="39"/>
        <v>2</v>
      </c>
      <c r="BU46" s="59" t="str">
        <f t="shared" ca="1" si="40"/>
        <v>=40</v>
      </c>
      <c r="BV46" t="str">
        <f t="shared" ca="1" si="14"/>
        <v>Azerbaijan</v>
      </c>
      <c r="BW46" s="60">
        <f t="shared" ca="1" si="15"/>
        <v>16.7</v>
      </c>
      <c r="BY46">
        <f t="shared" ca="1" si="5"/>
        <v>49.5</v>
      </c>
      <c r="BZ46" s="56">
        <f ca="1">IF($G46=0,"",RANK(BY46,BY$7:BY$69)+COUNTIF(BY$7:BY46,BY46)-1)</f>
        <v>17</v>
      </c>
      <c r="CA46" s="57">
        <f t="shared" ca="1" si="41"/>
        <v>30</v>
      </c>
      <c r="CB46" s="57">
        <f t="shared" ca="1" si="42"/>
        <v>40</v>
      </c>
      <c r="CC46" s="57">
        <f t="shared" ca="1" si="43"/>
        <v>2</v>
      </c>
      <c r="CD46" s="59">
        <f t="shared" ca="1" si="44"/>
        <v>40</v>
      </c>
      <c r="CE46" t="str">
        <f t="shared" ca="1" si="16"/>
        <v>Madagascar</v>
      </c>
      <c r="CF46" s="60">
        <f t="shared" ca="1" si="17"/>
        <v>32.299999999999997</v>
      </c>
    </row>
    <row r="47" spans="1:84">
      <c r="A47">
        <v>41</v>
      </c>
      <c r="B47">
        <f ca="1">tblCountries!A43</f>
        <v>41</v>
      </c>
      <c r="C47" t="str">
        <f ca="1">tblCountries!C43</f>
        <v>PE</v>
      </c>
      <c r="D47" t="str">
        <f ca="1">tblCountries!B43</f>
        <v>Peru</v>
      </c>
      <c r="E47">
        <f ca="1">tblCountries!H43</f>
        <v>2</v>
      </c>
      <c r="G47">
        <f ca="1">tblCountries!I43</f>
        <v>2</v>
      </c>
      <c r="H47">
        <f t="shared" ca="1" si="49"/>
        <v>73.8</v>
      </c>
      <c r="K47" s="56">
        <f ca="1">IF($G47=0,"",RANK(H47,H$7:H$69)+COUNTIF(H$7:H47,H47)-1)</f>
        <v>1</v>
      </c>
      <c r="L47" s="57">
        <f t="shared" ca="1" si="18"/>
        <v>9</v>
      </c>
      <c r="M47" s="57">
        <f t="shared" ca="1" si="19"/>
        <v>41</v>
      </c>
      <c r="N47" s="57">
        <f t="shared" ca="1" si="20"/>
        <v>2</v>
      </c>
      <c r="O47" s="59">
        <f t="shared" ca="1" si="21"/>
        <v>41</v>
      </c>
      <c r="P47" t="str">
        <f t="shared" ca="1" si="22"/>
        <v>Cameroon</v>
      </c>
      <c r="Q47" s="60">
        <f t="shared" ca="1" si="23"/>
        <v>31.6</v>
      </c>
      <c r="AF47">
        <f t="shared" ca="1" si="50"/>
        <v>73.8</v>
      </c>
      <c r="AG47" s="56">
        <f ca="1">IF($E47&lt;0,"",RANK(AF47,AF$7:AF$61)+COUNTIF(AF$7:AF47,AF47)-1)</f>
        <v>1</v>
      </c>
      <c r="AH47" s="57">
        <f t="shared" ca="1" si="7"/>
        <v>9</v>
      </c>
      <c r="AI47" s="57">
        <f t="shared" ca="1" si="24"/>
        <v>41</v>
      </c>
      <c r="AJ47" s="57">
        <f t="shared" ca="1" si="45"/>
        <v>2</v>
      </c>
      <c r="AK47" s="59">
        <f t="shared" ca="1" si="46"/>
        <v>41</v>
      </c>
      <c r="AL47" t="str">
        <f t="shared" ca="1" si="47"/>
        <v>Cameroon</v>
      </c>
      <c r="AM47" s="60">
        <f t="shared" ca="1" si="48"/>
        <v>31.6</v>
      </c>
      <c r="AO47">
        <f t="shared" ca="1" si="51"/>
        <v>73.8</v>
      </c>
      <c r="AP47" s="56">
        <f ca="1">IF($G47=0,"",RANK(AO47,AO$7:AO$69)+COUNTIF(AO$7:AO47,AO47)-1)</f>
        <v>1</v>
      </c>
      <c r="AQ47" s="57">
        <f t="shared" ca="1" si="25"/>
        <v>9</v>
      </c>
      <c r="AR47" s="57">
        <f t="shared" ca="1" si="26"/>
        <v>41</v>
      </c>
      <c r="AS47" s="57">
        <f t="shared" ca="1" si="27"/>
        <v>2</v>
      </c>
      <c r="AT47" s="59">
        <f t="shared" ca="1" si="28"/>
        <v>41</v>
      </c>
      <c r="AU47" t="str">
        <f t="shared" ca="1" si="8"/>
        <v>Cameroon</v>
      </c>
      <c r="AV47" s="60">
        <f t="shared" ca="1" si="9"/>
        <v>31.6</v>
      </c>
      <c r="AX47">
        <f t="shared" ca="1" si="52"/>
        <v>81.3</v>
      </c>
      <c r="AY47" s="56">
        <f ca="1">IF($G47=0,"",RANK(AX47,AX$7:AX$69)+COUNTIF(AX$7:AX47,AX47)-1)</f>
        <v>6</v>
      </c>
      <c r="AZ47" s="57">
        <f t="shared" ca="1" si="29"/>
        <v>32</v>
      </c>
      <c r="BA47" s="57">
        <f t="shared" ca="1" si="30"/>
        <v>35</v>
      </c>
      <c r="BB47" s="57">
        <f t="shared" ca="1" si="31"/>
        <v>2</v>
      </c>
      <c r="BC47" s="59" t="str">
        <f t="shared" ca="1" si="32"/>
        <v>=35</v>
      </c>
      <c r="BD47" t="str">
        <f t="shared" ca="1" si="10"/>
        <v>Mongolia</v>
      </c>
      <c r="BE47" s="60">
        <f t="shared" ca="1" si="11"/>
        <v>43.8</v>
      </c>
      <c r="BG47">
        <f t="shared" ca="1" si="53"/>
        <v>56.4</v>
      </c>
      <c r="BH47" s="56">
        <f ca="1">IF($G47=0,"",RANK(BG47,BG$7:BG$69)+COUNTIF(BG$7:BG47,BG47)-1)</f>
        <v>8</v>
      </c>
      <c r="BI47" s="57">
        <f t="shared" ca="1" si="33"/>
        <v>14</v>
      </c>
      <c r="BJ47" s="57">
        <f t="shared" ca="1" si="34"/>
        <v>41</v>
      </c>
      <c r="BK47" s="57">
        <f t="shared" ca="1" si="35"/>
        <v>2</v>
      </c>
      <c r="BL47" s="59" t="str">
        <f t="shared" ca="1" si="36"/>
        <v>=41</v>
      </c>
      <c r="BM47" t="str">
        <f t="shared" ca="1" si="12"/>
        <v>Dominican Republic</v>
      </c>
      <c r="BN47" s="60">
        <f t="shared" ca="1" si="13"/>
        <v>35</v>
      </c>
      <c r="BP47">
        <f t="shared" ca="1" si="54"/>
        <v>75</v>
      </c>
      <c r="BQ47" s="56">
        <f ca="1">IF($G47=0,"",RANK(BP47,BP$7:BP$69)+COUNTIF(BP$7:BP47,BP47)-1)</f>
        <v>2</v>
      </c>
      <c r="BR47" s="57">
        <f t="shared" ca="1" si="37"/>
        <v>9</v>
      </c>
      <c r="BS47" s="57">
        <f t="shared" ca="1" si="38"/>
        <v>40</v>
      </c>
      <c r="BT47" s="57">
        <f t="shared" ca="1" si="39"/>
        <v>2</v>
      </c>
      <c r="BU47" s="59" t="str">
        <f t="shared" ca="1" si="40"/>
        <v>=40</v>
      </c>
      <c r="BV47" t="str">
        <f t="shared" ca="1" si="14"/>
        <v>Cameroon</v>
      </c>
      <c r="BW47" s="60">
        <f t="shared" ca="1" si="15"/>
        <v>16.7</v>
      </c>
      <c r="BY47">
        <f t="shared" ca="1" si="5"/>
        <v>73.8</v>
      </c>
      <c r="BZ47" s="56">
        <f ca="1">IF($G47=0,"",RANK(BY47,BY$7:BY$69)+COUNTIF(BY$7:BY47,BY47)-1)</f>
        <v>1</v>
      </c>
      <c r="CA47" s="57">
        <f t="shared" ca="1" si="41"/>
        <v>9</v>
      </c>
      <c r="CB47" s="57">
        <f t="shared" ca="1" si="42"/>
        <v>41</v>
      </c>
      <c r="CC47" s="57">
        <f t="shared" ca="1" si="43"/>
        <v>2</v>
      </c>
      <c r="CD47" s="59">
        <f t="shared" ca="1" si="44"/>
        <v>41</v>
      </c>
      <c r="CE47" t="str">
        <f t="shared" ca="1" si="16"/>
        <v>Cameroon</v>
      </c>
      <c r="CF47" s="60">
        <f t="shared" ca="1" si="17"/>
        <v>31.6</v>
      </c>
    </row>
    <row r="48" spans="1:84">
      <c r="A48">
        <v>42</v>
      </c>
      <c r="B48">
        <f ca="1">tblCountries!A44</f>
        <v>42</v>
      </c>
      <c r="C48" t="str">
        <f ca="1">tblCountries!C44</f>
        <v>PH</v>
      </c>
      <c r="D48" t="str">
        <f ca="1">tblCountries!B44</f>
        <v>Philippines</v>
      </c>
      <c r="E48">
        <f ca="1">tblCountries!H44</f>
        <v>2</v>
      </c>
      <c r="G48">
        <f ca="1">tblCountries!I44</f>
        <v>2</v>
      </c>
      <c r="H48">
        <f t="shared" ca="1" si="49"/>
        <v>68.400000000000006</v>
      </c>
      <c r="K48" s="56">
        <f ca="1">IF($G48=0,"",RANK(H48,H$7:H$69)+COUNTIF(H$7:H48,H48)-1)</f>
        <v>3</v>
      </c>
      <c r="L48" s="57">
        <f t="shared" ca="1" si="18"/>
        <v>18</v>
      </c>
      <c r="M48" s="57">
        <f t="shared" ca="1" si="19"/>
        <v>42</v>
      </c>
      <c r="N48" s="57">
        <f t="shared" ca="1" si="20"/>
        <v>2</v>
      </c>
      <c r="O48" s="59">
        <f t="shared" ca="1" si="21"/>
        <v>42</v>
      </c>
      <c r="P48" t="str">
        <f t="shared" ca="1" si="22"/>
        <v>Ethiopia</v>
      </c>
      <c r="Q48" s="60">
        <f t="shared" ca="1" si="23"/>
        <v>31.3</v>
      </c>
      <c r="AF48">
        <f t="shared" ca="1" si="50"/>
        <v>68.400000000000006</v>
      </c>
      <c r="AG48" s="56">
        <f ca="1">IF($E48&lt;0,"",RANK(AF48,AF$7:AF$61)+COUNTIF(AF$7:AF48,AF48)-1)</f>
        <v>3</v>
      </c>
      <c r="AH48" s="57">
        <f t="shared" ca="1" si="7"/>
        <v>18</v>
      </c>
      <c r="AI48" s="57">
        <f t="shared" ca="1" si="24"/>
        <v>42</v>
      </c>
      <c r="AJ48" s="57">
        <f t="shared" ca="1" si="45"/>
        <v>2</v>
      </c>
      <c r="AK48" s="59">
        <f t="shared" ca="1" si="46"/>
        <v>42</v>
      </c>
      <c r="AL48" t="str">
        <f t="shared" ca="1" si="47"/>
        <v>Ethiopia</v>
      </c>
      <c r="AM48" s="60">
        <f t="shared" ca="1" si="48"/>
        <v>31.3</v>
      </c>
      <c r="AO48">
        <f t="shared" ca="1" si="51"/>
        <v>68.400000000000006</v>
      </c>
      <c r="AP48" s="56">
        <f ca="1">IF($G48=0,"",RANK(AO48,AO$7:AO$69)+COUNTIF(AO$7:AO48,AO48)-1)</f>
        <v>3</v>
      </c>
      <c r="AQ48" s="57">
        <f t="shared" ca="1" si="25"/>
        <v>18</v>
      </c>
      <c r="AR48" s="57">
        <f t="shared" ca="1" si="26"/>
        <v>42</v>
      </c>
      <c r="AS48" s="57">
        <f t="shared" ca="1" si="27"/>
        <v>2</v>
      </c>
      <c r="AT48" s="59">
        <f t="shared" ca="1" si="28"/>
        <v>42</v>
      </c>
      <c r="AU48" t="str">
        <f t="shared" ca="1" si="8"/>
        <v>Ethiopia</v>
      </c>
      <c r="AV48" s="60">
        <f t="shared" ca="1" si="9"/>
        <v>31.3</v>
      </c>
      <c r="AX48">
        <f t="shared" ca="1" si="52"/>
        <v>87.5</v>
      </c>
      <c r="AY48" s="56">
        <f ca="1">IF($G48=0,"",RANK(AX48,AX$7:AX$69)+COUNTIF(AX$7:AX48,AX48)-1)</f>
        <v>2</v>
      </c>
      <c r="AZ48" s="57">
        <f t="shared" ca="1" si="29"/>
        <v>44</v>
      </c>
      <c r="BA48" s="57">
        <f t="shared" ca="1" si="30"/>
        <v>35</v>
      </c>
      <c r="BB48" s="57">
        <f t="shared" ca="1" si="31"/>
        <v>2</v>
      </c>
      <c r="BC48" s="59" t="str">
        <f t="shared" ca="1" si="32"/>
        <v>=35</v>
      </c>
      <c r="BD48" t="str">
        <f t="shared" ca="1" si="10"/>
        <v>Senegal</v>
      </c>
      <c r="BE48" s="60">
        <f t="shared" ca="1" si="11"/>
        <v>43.8</v>
      </c>
      <c r="BG48">
        <f t="shared" ca="1" si="53"/>
        <v>50.6</v>
      </c>
      <c r="BH48" s="56">
        <f ca="1">IF($G48=0,"",RANK(BG48,BG$7:BG$69)+COUNTIF(BG$7:BG48,BG48)-1)</f>
        <v>17</v>
      </c>
      <c r="BI48" s="57">
        <f t="shared" ca="1" si="33"/>
        <v>28</v>
      </c>
      <c r="BJ48" s="57">
        <f t="shared" ca="1" si="34"/>
        <v>41</v>
      </c>
      <c r="BK48" s="57">
        <f t="shared" ca="1" si="35"/>
        <v>2</v>
      </c>
      <c r="BL48" s="59" t="str">
        <f t="shared" ca="1" si="36"/>
        <v>=41</v>
      </c>
      <c r="BM48" t="str">
        <f t="shared" ca="1" si="12"/>
        <v>Kyrgyzstan</v>
      </c>
      <c r="BN48" s="60">
        <f t="shared" ca="1" si="13"/>
        <v>35</v>
      </c>
      <c r="BP48">
        <f t="shared" ca="1" si="54"/>
        <v>58.3</v>
      </c>
      <c r="BQ48" s="56">
        <f ca="1">IF($G48=0,"",RANK(BP48,BP$7:BP$69)+COUNTIF(BP$7:BP48,BP48)-1)</f>
        <v>10</v>
      </c>
      <c r="BR48" s="57">
        <f t="shared" ca="1" si="37"/>
        <v>15</v>
      </c>
      <c r="BS48" s="57">
        <f t="shared" ca="1" si="38"/>
        <v>40</v>
      </c>
      <c r="BT48" s="57">
        <f t="shared" ca="1" si="39"/>
        <v>2</v>
      </c>
      <c r="BU48" s="59" t="str">
        <f t="shared" ca="1" si="40"/>
        <v>=40</v>
      </c>
      <c r="BV48" t="str">
        <f t="shared" ca="1" si="14"/>
        <v>DRC</v>
      </c>
      <c r="BW48" s="60">
        <f t="shared" ca="1" si="15"/>
        <v>16.7</v>
      </c>
      <c r="BY48">
        <f t="shared" ca="1" si="5"/>
        <v>68.400000000000006</v>
      </c>
      <c r="BZ48" s="56">
        <f ca="1">IF($G48=0,"",RANK(BY48,BY$7:BY$69)+COUNTIF(BY$7:BY48,BY48)-1)</f>
        <v>3</v>
      </c>
      <c r="CA48" s="57">
        <f t="shared" ca="1" si="41"/>
        <v>18</v>
      </c>
      <c r="CB48" s="57">
        <f t="shared" ca="1" si="42"/>
        <v>42</v>
      </c>
      <c r="CC48" s="57">
        <f t="shared" ca="1" si="43"/>
        <v>2</v>
      </c>
      <c r="CD48" s="59">
        <f t="shared" ca="1" si="44"/>
        <v>42</v>
      </c>
      <c r="CE48" t="str">
        <f t="shared" ca="1" si="16"/>
        <v>Ethiopia</v>
      </c>
      <c r="CF48" s="60">
        <f t="shared" ca="1" si="17"/>
        <v>31.3</v>
      </c>
    </row>
    <row r="49" spans="1:84">
      <c r="A49">
        <v>43</v>
      </c>
      <c r="B49">
        <f ca="1">tblCountries!A45</f>
        <v>43</v>
      </c>
      <c r="C49" t="str">
        <f ca="1">tblCountries!C45</f>
        <v>RW</v>
      </c>
      <c r="D49" t="str">
        <f ca="1">tblCountries!B45</f>
        <v>Rwanda</v>
      </c>
      <c r="E49">
        <f ca="1">tblCountries!H45</f>
        <v>2</v>
      </c>
      <c r="G49">
        <f ca="1">tblCountries!I45</f>
        <v>2</v>
      </c>
      <c r="H49">
        <f t="shared" ca="1" si="49"/>
        <v>38.6</v>
      </c>
      <c r="K49" s="56">
        <f ca="1">IF($G49=0,"",RANK(H49,H$7:H$69)+COUNTIF(H$7:H49,H49)-1)</f>
        <v>34</v>
      </c>
      <c r="L49" s="57">
        <f t="shared" ca="1" si="18"/>
        <v>1</v>
      </c>
      <c r="M49" s="57">
        <f t="shared" ca="1" si="19"/>
        <v>43</v>
      </c>
      <c r="N49" s="57">
        <f t="shared" ca="1" si="20"/>
        <v>2</v>
      </c>
      <c r="O49" s="59">
        <f t="shared" ca="1" si="21"/>
        <v>43</v>
      </c>
      <c r="P49" t="str">
        <f t="shared" ca="1" si="22"/>
        <v>Argentina</v>
      </c>
      <c r="Q49" s="60">
        <f t="shared" ca="1" si="23"/>
        <v>30.8</v>
      </c>
      <c r="AF49">
        <f t="shared" ca="1" si="50"/>
        <v>38.6</v>
      </c>
      <c r="AG49" s="56">
        <f ca="1">IF($E49&lt;0,"",RANK(AF49,AF$7:AF$61)+COUNTIF(AF$7:AF49,AF49)-1)</f>
        <v>34</v>
      </c>
      <c r="AH49" s="57">
        <f t="shared" ca="1" si="7"/>
        <v>1</v>
      </c>
      <c r="AI49" s="57">
        <f t="shared" ca="1" si="24"/>
        <v>43</v>
      </c>
      <c r="AJ49" s="57">
        <f t="shared" ca="1" si="45"/>
        <v>2</v>
      </c>
      <c r="AK49" s="59">
        <f t="shared" ca="1" si="46"/>
        <v>43</v>
      </c>
      <c r="AL49" t="str">
        <f t="shared" ca="1" si="47"/>
        <v>Argentina</v>
      </c>
      <c r="AM49" s="60">
        <f t="shared" ca="1" si="48"/>
        <v>30.8</v>
      </c>
      <c r="AO49">
        <f t="shared" ca="1" si="51"/>
        <v>38.6</v>
      </c>
      <c r="AP49" s="56">
        <f ca="1">IF($G49=0,"",RANK(AO49,AO$7:AO$69)+COUNTIF(AO$7:AO49,AO49)-1)</f>
        <v>34</v>
      </c>
      <c r="AQ49" s="57">
        <f t="shared" ca="1" si="25"/>
        <v>1</v>
      </c>
      <c r="AR49" s="57">
        <f t="shared" ca="1" si="26"/>
        <v>43</v>
      </c>
      <c r="AS49" s="57">
        <f t="shared" ca="1" si="27"/>
        <v>2</v>
      </c>
      <c r="AT49" s="59">
        <f t="shared" ca="1" si="28"/>
        <v>43</v>
      </c>
      <c r="AU49" t="str">
        <f t="shared" ca="1" si="8"/>
        <v>Argentina</v>
      </c>
      <c r="AV49" s="60">
        <f t="shared" ca="1" si="9"/>
        <v>30.8</v>
      </c>
      <c r="AX49">
        <f t="shared" ca="1" si="52"/>
        <v>56.3</v>
      </c>
      <c r="AY49" s="56">
        <f ca="1">IF($G49=0,"",RANK(AX49,AX$7:AX$69)+COUNTIF(AX$7:AX49,AX49)-1)</f>
        <v>25</v>
      </c>
      <c r="AZ49" s="57">
        <f t="shared" ca="1" si="29"/>
        <v>3</v>
      </c>
      <c r="BA49" s="57">
        <f t="shared" ca="1" si="30"/>
        <v>43</v>
      </c>
      <c r="BB49" s="57">
        <f t="shared" ca="1" si="31"/>
        <v>2</v>
      </c>
      <c r="BC49" s="59" t="str">
        <f t="shared" ca="1" si="32"/>
        <v>=43</v>
      </c>
      <c r="BD49" t="str">
        <f t="shared" ca="1" si="10"/>
        <v>Azerbaijan</v>
      </c>
      <c r="BE49" s="60">
        <f t="shared" ca="1" si="11"/>
        <v>37.5</v>
      </c>
      <c r="BG49">
        <f t="shared" ca="1" si="53"/>
        <v>30.3</v>
      </c>
      <c r="BH49" s="56">
        <f ca="1">IF($G49=0,"",RANK(BG49,BG$7:BG$69)+COUNTIF(BG$7:BG49,BG49)-1)</f>
        <v>47</v>
      </c>
      <c r="BI49" s="57">
        <f t="shared" ca="1" si="33"/>
        <v>37</v>
      </c>
      <c r="BJ49" s="57">
        <f t="shared" ca="1" si="34"/>
        <v>43</v>
      </c>
      <c r="BK49" s="57">
        <f t="shared" ca="1" si="35"/>
        <v>2</v>
      </c>
      <c r="BL49" s="59">
        <f t="shared" ca="1" si="36"/>
        <v>43</v>
      </c>
      <c r="BM49" t="str">
        <f t="shared" ca="1" si="12"/>
        <v>Nigeria</v>
      </c>
      <c r="BN49" s="60">
        <f t="shared" ca="1" si="13"/>
        <v>34.200000000000003</v>
      </c>
      <c r="BP49">
        <f t="shared" ca="1" si="54"/>
        <v>25</v>
      </c>
      <c r="BQ49" s="56">
        <f ca="1">IF($G49=0,"",RANK(BP49,BP$7:BP$69)+COUNTIF(BP$7:BP49,BP49)-1)</f>
        <v>37</v>
      </c>
      <c r="BR49" s="57">
        <f t="shared" ca="1" si="37"/>
        <v>18</v>
      </c>
      <c r="BS49" s="57">
        <f t="shared" ca="1" si="38"/>
        <v>40</v>
      </c>
      <c r="BT49" s="57">
        <f t="shared" ca="1" si="39"/>
        <v>2</v>
      </c>
      <c r="BU49" s="59" t="str">
        <f t="shared" ca="1" si="40"/>
        <v>=40</v>
      </c>
      <c r="BV49" t="str">
        <f t="shared" ca="1" si="14"/>
        <v>Ethiopia</v>
      </c>
      <c r="BW49" s="60">
        <f t="shared" ca="1" si="15"/>
        <v>16.7</v>
      </c>
      <c r="BY49">
        <f t="shared" ca="1" si="5"/>
        <v>38.6</v>
      </c>
      <c r="BZ49" s="56">
        <f ca="1">IF($G49=0,"",RANK(BY49,BY$7:BY$69)+COUNTIF(BY$7:BY49,BY49)-1)</f>
        <v>34</v>
      </c>
      <c r="CA49" s="57">
        <f t="shared" ca="1" si="41"/>
        <v>1</v>
      </c>
      <c r="CB49" s="57">
        <f t="shared" ca="1" si="42"/>
        <v>43</v>
      </c>
      <c r="CC49" s="57">
        <f t="shared" ca="1" si="43"/>
        <v>2</v>
      </c>
      <c r="CD49" s="59">
        <f t="shared" ca="1" si="44"/>
        <v>43</v>
      </c>
      <c r="CE49" t="str">
        <f t="shared" ca="1" si="16"/>
        <v>Argentina</v>
      </c>
      <c r="CF49" s="60">
        <f t="shared" ca="1" si="17"/>
        <v>30.8</v>
      </c>
    </row>
    <row r="50" spans="1:84">
      <c r="A50">
        <v>44</v>
      </c>
      <c r="B50">
        <f ca="1">tblCountries!A46</f>
        <v>44</v>
      </c>
      <c r="C50" t="str">
        <f ca="1">tblCountries!C46</f>
        <v>SN</v>
      </c>
      <c r="D50" t="str">
        <f ca="1">tblCountries!B46</f>
        <v>Senegal</v>
      </c>
      <c r="E50">
        <f ca="1">tblCountries!H46</f>
        <v>2</v>
      </c>
      <c r="G50">
        <f ca="1">tblCountries!I46</f>
        <v>2</v>
      </c>
      <c r="H50">
        <f t="shared" ca="1" si="49"/>
        <v>32.6</v>
      </c>
      <c r="K50" s="56">
        <f ca="1">IF($G50=0,"",RANK(H50,H$7:H$69)+COUNTIF(H$7:H50,H50)-1)</f>
        <v>39</v>
      </c>
      <c r="L50" s="57">
        <f t="shared" ca="1" si="18"/>
        <v>33</v>
      </c>
      <c r="M50" s="57">
        <f t="shared" ca="1" si="19"/>
        <v>44</v>
      </c>
      <c r="N50" s="57">
        <f t="shared" ca="1" si="20"/>
        <v>2</v>
      </c>
      <c r="O50" s="59" t="str">
        <f t="shared" ca="1" si="21"/>
        <v>=44</v>
      </c>
      <c r="P50" t="str">
        <f t="shared" ca="1" si="22"/>
        <v>Morocco</v>
      </c>
      <c r="Q50" s="60">
        <f t="shared" ca="1" si="23"/>
        <v>30.3</v>
      </c>
      <c r="AF50">
        <f t="shared" ca="1" si="50"/>
        <v>32.6</v>
      </c>
      <c r="AG50" s="56">
        <f ca="1">IF($E50&lt;0,"",RANK(AF50,AF$7:AF$61)+COUNTIF(AF$7:AF50,AF50)-1)</f>
        <v>39</v>
      </c>
      <c r="AH50" s="57">
        <f t="shared" ca="1" si="7"/>
        <v>33</v>
      </c>
      <c r="AI50" s="57">
        <f t="shared" ca="1" si="24"/>
        <v>44</v>
      </c>
      <c r="AJ50" s="57">
        <f t="shared" ca="1" si="45"/>
        <v>2</v>
      </c>
      <c r="AK50" s="59" t="str">
        <f t="shared" ca="1" si="46"/>
        <v>=44</v>
      </c>
      <c r="AL50" t="str">
        <f t="shared" ca="1" si="47"/>
        <v>Morocco</v>
      </c>
      <c r="AM50" s="60">
        <f t="shared" ca="1" si="48"/>
        <v>30.3</v>
      </c>
      <c r="AO50">
        <f t="shared" ca="1" si="51"/>
        <v>32.6</v>
      </c>
      <c r="AP50" s="56">
        <f ca="1">IF($G50=0,"",RANK(AO50,AO$7:AO$69)+COUNTIF(AO$7:AO50,AO50)-1)</f>
        <v>39</v>
      </c>
      <c r="AQ50" s="57">
        <f t="shared" ca="1" si="25"/>
        <v>33</v>
      </c>
      <c r="AR50" s="57">
        <f t="shared" ca="1" si="26"/>
        <v>44</v>
      </c>
      <c r="AS50" s="57">
        <f t="shared" ca="1" si="27"/>
        <v>2</v>
      </c>
      <c r="AT50" s="59" t="str">
        <f t="shared" ca="1" si="28"/>
        <v>=44</v>
      </c>
      <c r="AU50" t="str">
        <f t="shared" ca="1" si="8"/>
        <v>Morocco</v>
      </c>
      <c r="AV50" s="60">
        <f t="shared" ca="1" si="9"/>
        <v>30.3</v>
      </c>
      <c r="AX50">
        <f t="shared" ca="1" si="52"/>
        <v>43.8</v>
      </c>
      <c r="AY50" s="56">
        <f ca="1">IF($G50=0,"",RANK(AX50,AX$7:AX$69)+COUNTIF(AX$7:AX50,AX50)-1)</f>
        <v>42</v>
      </c>
      <c r="AZ50" s="57">
        <f t="shared" ca="1" si="29"/>
        <v>29</v>
      </c>
      <c r="BA50" s="57">
        <f t="shared" ca="1" si="30"/>
        <v>43</v>
      </c>
      <c r="BB50" s="57">
        <f t="shared" ca="1" si="31"/>
        <v>2</v>
      </c>
      <c r="BC50" s="59" t="str">
        <f t="shared" ca="1" si="32"/>
        <v>=43</v>
      </c>
      <c r="BD50" t="str">
        <f t="shared" ca="1" si="10"/>
        <v>Lebanon</v>
      </c>
      <c r="BE50" s="60">
        <f t="shared" ca="1" si="11"/>
        <v>37.5</v>
      </c>
      <c r="BG50">
        <f t="shared" ca="1" si="53"/>
        <v>41.9</v>
      </c>
      <c r="BH50" s="56">
        <f ca="1">IF($G50=0,"",RANK(BG50,BG$7:BG$69)+COUNTIF(BG$7:BG50,BG50)-1)</f>
        <v>29</v>
      </c>
      <c r="BI50" s="57">
        <f t="shared" ca="1" si="33"/>
        <v>11</v>
      </c>
      <c r="BJ50" s="57">
        <f t="shared" ca="1" si="34"/>
        <v>44</v>
      </c>
      <c r="BK50" s="57">
        <f t="shared" ca="1" si="35"/>
        <v>2</v>
      </c>
      <c r="BL50" s="59">
        <f t="shared" ca="1" si="36"/>
        <v>44</v>
      </c>
      <c r="BM50" t="str">
        <f t="shared" ca="1" si="12"/>
        <v>China</v>
      </c>
      <c r="BN50" s="60">
        <f t="shared" ca="1" si="13"/>
        <v>33.1</v>
      </c>
      <c r="BP50">
        <f t="shared" ca="1" si="54"/>
        <v>16.7</v>
      </c>
      <c r="BQ50" s="56">
        <f ca="1">IF($G50=0,"",RANK(BP50,BP$7:BP$69)+COUNTIF(BP$7:BP50,BP50)-1)</f>
        <v>46</v>
      </c>
      <c r="BR50" s="57">
        <f t="shared" ca="1" si="37"/>
        <v>29</v>
      </c>
      <c r="BS50" s="57">
        <f t="shared" ca="1" si="38"/>
        <v>40</v>
      </c>
      <c r="BT50" s="57">
        <f t="shared" ca="1" si="39"/>
        <v>2</v>
      </c>
      <c r="BU50" s="59" t="str">
        <f t="shared" ca="1" si="40"/>
        <v>=40</v>
      </c>
      <c r="BV50" t="str">
        <f t="shared" ca="1" si="14"/>
        <v>Lebanon</v>
      </c>
      <c r="BW50" s="60">
        <f t="shared" ca="1" si="15"/>
        <v>16.7</v>
      </c>
      <c r="BY50">
        <f t="shared" ca="1" si="5"/>
        <v>32.6</v>
      </c>
      <c r="BZ50" s="56">
        <f ca="1">IF($G50=0,"",RANK(BY50,BY$7:BY$69)+COUNTIF(BY$7:BY50,BY50)-1)</f>
        <v>39</v>
      </c>
      <c r="CA50" s="57">
        <f t="shared" ca="1" si="41"/>
        <v>33</v>
      </c>
      <c r="CB50" s="57">
        <f t="shared" ca="1" si="42"/>
        <v>44</v>
      </c>
      <c r="CC50" s="57">
        <f t="shared" ca="1" si="43"/>
        <v>2</v>
      </c>
      <c r="CD50" s="59" t="str">
        <f t="shared" ca="1" si="44"/>
        <v>=44</v>
      </c>
      <c r="CE50" t="str">
        <f t="shared" ca="1" si="16"/>
        <v>Morocco</v>
      </c>
      <c r="CF50" s="60">
        <f t="shared" ca="1" si="17"/>
        <v>30.3</v>
      </c>
    </row>
    <row r="51" spans="1:84">
      <c r="A51">
        <v>45</v>
      </c>
      <c r="B51">
        <f ca="1">tblCountries!A47</f>
        <v>45</v>
      </c>
      <c r="C51" t="str">
        <f ca="1">tblCountries!C47</f>
        <v>LK</v>
      </c>
      <c r="D51" t="str">
        <f ca="1">tblCountries!B47</f>
        <v>Sri Lanka</v>
      </c>
      <c r="E51">
        <f ca="1">tblCountries!H47</f>
        <v>2</v>
      </c>
      <c r="G51">
        <f ca="1">tblCountries!I47</f>
        <v>2</v>
      </c>
      <c r="H51">
        <f t="shared" ca="1" si="49"/>
        <v>40.4</v>
      </c>
      <c r="K51" s="56">
        <f ca="1">IF($G51=0,"",RANK(H51,H$7:H$69)+COUNTIF(H$7:H51,H51)-1)</f>
        <v>30</v>
      </c>
      <c r="L51" s="57">
        <f t="shared" ca="1" si="18"/>
        <v>50</v>
      </c>
      <c r="M51" s="57">
        <f t="shared" ca="1" si="19"/>
        <v>44</v>
      </c>
      <c r="N51" s="57">
        <f t="shared" ca="1" si="20"/>
        <v>2</v>
      </c>
      <c r="O51" s="59" t="str">
        <f t="shared" ca="1" si="21"/>
        <v>=44</v>
      </c>
      <c r="P51" t="str">
        <f t="shared" ca="1" si="22"/>
        <v>Turkey</v>
      </c>
      <c r="Q51" s="60">
        <f t="shared" ca="1" si="23"/>
        <v>30.3</v>
      </c>
      <c r="AF51">
        <f t="shared" ca="1" si="50"/>
        <v>40.4</v>
      </c>
      <c r="AG51" s="56">
        <f ca="1">IF($E51&lt;0,"",RANK(AF51,AF$7:AF$61)+COUNTIF(AF$7:AF51,AF51)-1)</f>
        <v>30</v>
      </c>
      <c r="AH51" s="57">
        <f t="shared" ca="1" si="7"/>
        <v>50</v>
      </c>
      <c r="AI51" s="57">
        <f t="shared" ca="1" si="24"/>
        <v>44</v>
      </c>
      <c r="AJ51" s="57">
        <f t="shared" ca="1" si="45"/>
        <v>2</v>
      </c>
      <c r="AK51" s="59" t="str">
        <f t="shared" ca="1" si="46"/>
        <v>=44</v>
      </c>
      <c r="AL51" t="str">
        <f t="shared" ca="1" si="47"/>
        <v>Turkey</v>
      </c>
      <c r="AM51" s="60">
        <f t="shared" ca="1" si="48"/>
        <v>30.3</v>
      </c>
      <c r="AO51">
        <f t="shared" ca="1" si="51"/>
        <v>40.4</v>
      </c>
      <c r="AP51" s="56">
        <f ca="1">IF($G51=0,"",RANK(AO51,AO$7:AO$69)+COUNTIF(AO$7:AO51,AO51)-1)</f>
        <v>30</v>
      </c>
      <c r="AQ51" s="57">
        <f t="shared" ca="1" si="25"/>
        <v>50</v>
      </c>
      <c r="AR51" s="57">
        <f t="shared" ca="1" si="26"/>
        <v>44</v>
      </c>
      <c r="AS51" s="57">
        <f t="shared" ca="1" si="27"/>
        <v>2</v>
      </c>
      <c r="AT51" s="59" t="str">
        <f t="shared" ca="1" si="28"/>
        <v>=44</v>
      </c>
      <c r="AU51" t="str">
        <f t="shared" ca="1" si="8"/>
        <v>Turkey</v>
      </c>
      <c r="AV51" s="60">
        <f t="shared" ca="1" si="9"/>
        <v>30.3</v>
      </c>
      <c r="AX51">
        <f t="shared" ca="1" si="52"/>
        <v>31.3</v>
      </c>
      <c r="AY51" s="56">
        <f ca="1">IF($G51=0,"",RANK(AX51,AX$7:AX$69)+COUNTIF(AX$7:AX51,AX51)-1)</f>
        <v>47</v>
      </c>
      <c r="AZ51" s="57">
        <f t="shared" ca="1" si="29"/>
        <v>33</v>
      </c>
      <c r="BA51" s="57">
        <f t="shared" ca="1" si="30"/>
        <v>43</v>
      </c>
      <c r="BB51" s="57">
        <f t="shared" ca="1" si="31"/>
        <v>2</v>
      </c>
      <c r="BC51" s="59" t="str">
        <f t="shared" ca="1" si="32"/>
        <v>=43</v>
      </c>
      <c r="BD51" t="str">
        <f t="shared" ca="1" si="10"/>
        <v>Morocco</v>
      </c>
      <c r="BE51" s="60">
        <f t="shared" ca="1" si="11"/>
        <v>37.5</v>
      </c>
      <c r="BG51">
        <f t="shared" ca="1" si="53"/>
        <v>39.4</v>
      </c>
      <c r="BH51" s="56">
        <f ca="1">IF($G51=0,"",RANK(BG51,BG$7:BG$69)+COUNTIF(BG$7:BG51,BG51)-1)</f>
        <v>30</v>
      </c>
      <c r="BI51" s="57">
        <f t="shared" ca="1" si="33"/>
        <v>48</v>
      </c>
      <c r="BJ51" s="57">
        <f t="shared" ca="1" si="34"/>
        <v>45</v>
      </c>
      <c r="BK51" s="57">
        <f t="shared" ca="1" si="35"/>
        <v>2</v>
      </c>
      <c r="BL51" s="59">
        <f t="shared" ca="1" si="36"/>
        <v>45</v>
      </c>
      <c r="BM51" t="str">
        <f t="shared" ca="1" si="12"/>
        <v>Thailand</v>
      </c>
      <c r="BN51" s="60">
        <f t="shared" ca="1" si="13"/>
        <v>31.1</v>
      </c>
      <c r="BP51">
        <f t="shared" ca="1" si="54"/>
        <v>50</v>
      </c>
      <c r="BQ51" s="56">
        <f ca="1">IF($G51=0,"",RANK(BP51,BP$7:BP$69)+COUNTIF(BP$7:BP51,BP51)-1)</f>
        <v>13</v>
      </c>
      <c r="BR51" s="57">
        <f t="shared" ca="1" si="37"/>
        <v>30</v>
      </c>
      <c r="BS51" s="57">
        <f t="shared" ca="1" si="38"/>
        <v>40</v>
      </c>
      <c r="BT51" s="57">
        <f t="shared" ca="1" si="39"/>
        <v>2</v>
      </c>
      <c r="BU51" s="59" t="str">
        <f t="shared" ca="1" si="40"/>
        <v>=40</v>
      </c>
      <c r="BV51" t="str">
        <f t="shared" ca="1" si="14"/>
        <v>Madagascar</v>
      </c>
      <c r="BW51" s="60">
        <f t="shared" ca="1" si="15"/>
        <v>16.7</v>
      </c>
      <c r="BY51">
        <f t="shared" ca="1" si="5"/>
        <v>40.4</v>
      </c>
      <c r="BZ51" s="56">
        <f ca="1">IF($G51=0,"",RANK(BY51,BY$7:BY$69)+COUNTIF(BY$7:BY51,BY51)-1)</f>
        <v>30</v>
      </c>
      <c r="CA51" s="57">
        <f t="shared" ca="1" si="41"/>
        <v>50</v>
      </c>
      <c r="CB51" s="57">
        <f t="shared" ca="1" si="42"/>
        <v>44</v>
      </c>
      <c r="CC51" s="57">
        <f t="shared" ca="1" si="43"/>
        <v>2</v>
      </c>
      <c r="CD51" s="59" t="str">
        <f t="shared" ca="1" si="44"/>
        <v>=44</v>
      </c>
      <c r="CE51" t="str">
        <f t="shared" ca="1" si="16"/>
        <v>Turkey</v>
      </c>
      <c r="CF51" s="60">
        <f t="shared" ca="1" si="17"/>
        <v>30.3</v>
      </c>
    </row>
    <row r="52" spans="1:84">
      <c r="A52">
        <v>46</v>
      </c>
      <c r="B52">
        <f ca="1">tblCountries!A48</f>
        <v>46</v>
      </c>
      <c r="C52" t="str">
        <f ca="1">tblCountries!C48</f>
        <v>TJ</v>
      </c>
      <c r="D52" t="str">
        <f ca="1">tblCountries!B48</f>
        <v>Tajikistan</v>
      </c>
      <c r="E52">
        <f ca="1">tblCountries!H48</f>
        <v>2</v>
      </c>
      <c r="G52">
        <f ca="1">tblCountries!I48</f>
        <v>2</v>
      </c>
      <c r="H52">
        <f t="shared" ca="1" si="49"/>
        <v>40.4</v>
      </c>
      <c r="K52" s="56">
        <f ca="1">IF($G52=0,"",RANK(H52,H$7:H$69)+COUNTIF(H$7:H52,H52)-1)</f>
        <v>31</v>
      </c>
      <c r="L52" s="57">
        <f t="shared" ca="1" si="18"/>
        <v>32</v>
      </c>
      <c r="M52" s="57">
        <f t="shared" ca="1" si="19"/>
        <v>46</v>
      </c>
      <c r="N52" s="57">
        <f t="shared" ca="1" si="20"/>
        <v>2</v>
      </c>
      <c r="O52" s="59" t="str">
        <f t="shared" ca="1" si="21"/>
        <v>=46</v>
      </c>
      <c r="P52" t="str">
        <f t="shared" ca="1" si="22"/>
        <v>Mongolia</v>
      </c>
      <c r="Q52" s="60">
        <f t="shared" ca="1" si="23"/>
        <v>30</v>
      </c>
      <c r="AF52">
        <f t="shared" ca="1" si="50"/>
        <v>40.4</v>
      </c>
      <c r="AG52" s="56">
        <f ca="1">IF($E52&lt;0,"",RANK(AF52,AF$7:AF$61)+COUNTIF(AF$7:AF52,AF52)-1)</f>
        <v>31</v>
      </c>
      <c r="AH52" s="57">
        <f t="shared" ca="1" si="7"/>
        <v>32</v>
      </c>
      <c r="AI52" s="57">
        <f t="shared" ca="1" si="24"/>
        <v>46</v>
      </c>
      <c r="AJ52" s="57">
        <f t="shared" ca="1" si="45"/>
        <v>2</v>
      </c>
      <c r="AK52" s="59" t="str">
        <f t="shared" ca="1" si="46"/>
        <v>=46</v>
      </c>
      <c r="AL52" t="str">
        <f t="shared" ca="1" si="47"/>
        <v>Mongolia</v>
      </c>
      <c r="AM52" s="60">
        <f t="shared" ca="1" si="48"/>
        <v>30</v>
      </c>
      <c r="AO52">
        <f t="shared" ca="1" si="51"/>
        <v>40.4</v>
      </c>
      <c r="AP52" s="56">
        <f ca="1">IF($G52=0,"",RANK(AO52,AO$7:AO$69)+COUNTIF(AO$7:AO52,AO52)-1)</f>
        <v>31</v>
      </c>
      <c r="AQ52" s="57">
        <f t="shared" ca="1" si="25"/>
        <v>32</v>
      </c>
      <c r="AR52" s="57">
        <f t="shared" ca="1" si="26"/>
        <v>46</v>
      </c>
      <c r="AS52" s="57">
        <f t="shared" ca="1" si="27"/>
        <v>2</v>
      </c>
      <c r="AT52" s="59" t="str">
        <f t="shared" ca="1" si="28"/>
        <v>=46</v>
      </c>
      <c r="AU52" t="str">
        <f t="shared" ca="1" si="8"/>
        <v>Mongolia</v>
      </c>
      <c r="AV52" s="60">
        <f t="shared" ca="1" si="9"/>
        <v>30</v>
      </c>
      <c r="AX52">
        <f t="shared" ca="1" si="52"/>
        <v>68.8</v>
      </c>
      <c r="AY52" s="56">
        <f ca="1">IF($G52=0,"",RANK(AX52,AX$7:AX$69)+COUNTIF(AX$7:AX52,AX52)-1)</f>
        <v>11</v>
      </c>
      <c r="AZ52" s="57">
        <f t="shared" ca="1" si="29"/>
        <v>35</v>
      </c>
      <c r="BA52" s="57">
        <f t="shared" ca="1" si="30"/>
        <v>46</v>
      </c>
      <c r="BB52" s="57">
        <f t="shared" ca="1" si="31"/>
        <v>2</v>
      </c>
      <c r="BC52" s="59" t="str">
        <f t="shared" ca="1" si="32"/>
        <v>=46</v>
      </c>
      <c r="BD52" t="str">
        <f t="shared" ca="1" si="10"/>
        <v>Nepal</v>
      </c>
      <c r="BE52" s="60">
        <f t="shared" ca="1" si="11"/>
        <v>31.3</v>
      </c>
      <c r="BG52">
        <f t="shared" ca="1" si="53"/>
        <v>30.8</v>
      </c>
      <c r="BH52" s="56">
        <f ca="1">IF($G52=0,"",RANK(BG52,BG$7:BG$69)+COUNTIF(BG$7:BG52,BG52)-1)</f>
        <v>46</v>
      </c>
      <c r="BI52" s="57">
        <f t="shared" ca="1" si="33"/>
        <v>46</v>
      </c>
      <c r="BJ52" s="57">
        <f t="shared" ca="1" si="34"/>
        <v>46</v>
      </c>
      <c r="BK52" s="57">
        <f t="shared" ca="1" si="35"/>
        <v>2</v>
      </c>
      <c r="BL52" s="59">
        <f t="shared" ca="1" si="36"/>
        <v>46</v>
      </c>
      <c r="BM52" t="str">
        <f t="shared" ca="1" si="12"/>
        <v>Tajikistan</v>
      </c>
      <c r="BN52" s="60">
        <f t="shared" ca="1" si="13"/>
        <v>30.8</v>
      </c>
      <c r="BP52">
        <f t="shared" ca="1" si="54"/>
        <v>16.7</v>
      </c>
      <c r="BQ52" s="56">
        <f ca="1">IF($G52=0,"",RANK(BP52,BP$7:BP$69)+COUNTIF(BP$7:BP52,BP52)-1)</f>
        <v>47</v>
      </c>
      <c r="BR52" s="57">
        <f t="shared" ca="1" si="37"/>
        <v>44</v>
      </c>
      <c r="BS52" s="57">
        <f t="shared" ca="1" si="38"/>
        <v>40</v>
      </c>
      <c r="BT52" s="57">
        <f t="shared" ca="1" si="39"/>
        <v>2</v>
      </c>
      <c r="BU52" s="59" t="str">
        <f t="shared" ca="1" si="40"/>
        <v>=40</v>
      </c>
      <c r="BV52" t="str">
        <f t="shared" ca="1" si="14"/>
        <v>Senegal</v>
      </c>
      <c r="BW52" s="60">
        <f t="shared" ca="1" si="15"/>
        <v>16.7</v>
      </c>
      <c r="BY52">
        <f t="shared" ca="1" si="5"/>
        <v>40.4</v>
      </c>
      <c r="BZ52" s="56">
        <f ca="1">IF($G52=0,"",RANK(BY52,BY$7:BY$69)+COUNTIF(BY$7:BY52,BY52)-1)</f>
        <v>31</v>
      </c>
      <c r="CA52" s="57">
        <f t="shared" ca="1" si="41"/>
        <v>32</v>
      </c>
      <c r="CB52" s="57">
        <f t="shared" ca="1" si="42"/>
        <v>46</v>
      </c>
      <c r="CC52" s="57">
        <f t="shared" ca="1" si="43"/>
        <v>2</v>
      </c>
      <c r="CD52" s="59" t="str">
        <f t="shared" ca="1" si="44"/>
        <v>=46</v>
      </c>
      <c r="CE52" t="str">
        <f t="shared" ca="1" si="16"/>
        <v>Mongolia</v>
      </c>
      <c r="CF52" s="60">
        <f t="shared" ca="1" si="17"/>
        <v>30</v>
      </c>
    </row>
    <row r="53" spans="1:84">
      <c r="A53">
        <v>47</v>
      </c>
      <c r="B53">
        <f ca="1">tblCountries!A49</f>
        <v>47</v>
      </c>
      <c r="C53" t="str">
        <f ca="1">tblCountries!C49</f>
        <v>TZ</v>
      </c>
      <c r="D53" t="str">
        <f ca="1">tblCountries!B49</f>
        <v>Tanzania</v>
      </c>
      <c r="E53">
        <f ca="1">tblCountries!H49</f>
        <v>2</v>
      </c>
      <c r="G53">
        <f ca="1">tblCountries!I49</f>
        <v>2</v>
      </c>
      <c r="H53">
        <f t="shared" ca="1" si="49"/>
        <v>48.4</v>
      </c>
      <c r="K53" s="56">
        <f ca="1">IF($G53=0,"",RANK(H53,H$7:H$69)+COUNTIF(H$7:H53,H53)-1)</f>
        <v>19</v>
      </c>
      <c r="L53" s="57">
        <f t="shared" ca="1" si="18"/>
        <v>35</v>
      </c>
      <c r="M53" s="57">
        <f t="shared" ca="1" si="19"/>
        <v>46</v>
      </c>
      <c r="N53" s="57">
        <f t="shared" ca="1" si="20"/>
        <v>2</v>
      </c>
      <c r="O53" s="59" t="str">
        <f t="shared" ca="1" si="21"/>
        <v>=46</v>
      </c>
      <c r="P53" t="str">
        <f t="shared" ca="1" si="22"/>
        <v>Nepal</v>
      </c>
      <c r="Q53" s="60">
        <f t="shared" ca="1" si="23"/>
        <v>30</v>
      </c>
      <c r="AF53">
        <f t="shared" ca="1" si="50"/>
        <v>48.4</v>
      </c>
      <c r="AG53" s="56">
        <f ca="1">IF($E53&lt;0,"",RANK(AF53,AF$7:AF$61)+COUNTIF(AF$7:AF53,AF53)-1)</f>
        <v>19</v>
      </c>
      <c r="AH53" s="57">
        <f t="shared" ca="1" si="7"/>
        <v>35</v>
      </c>
      <c r="AI53" s="57">
        <f t="shared" ca="1" si="24"/>
        <v>46</v>
      </c>
      <c r="AJ53" s="57">
        <f t="shared" ca="1" si="45"/>
        <v>2</v>
      </c>
      <c r="AK53" s="59" t="str">
        <f t="shared" ca="1" si="46"/>
        <v>=46</v>
      </c>
      <c r="AL53" t="str">
        <f t="shared" ca="1" si="47"/>
        <v>Nepal</v>
      </c>
      <c r="AM53" s="60">
        <f t="shared" ca="1" si="48"/>
        <v>30</v>
      </c>
      <c r="AO53">
        <f t="shared" ca="1" si="51"/>
        <v>48.4</v>
      </c>
      <c r="AP53" s="56">
        <f ca="1">IF($G53=0,"",RANK(AO53,AO$7:AO$69)+COUNTIF(AO$7:AO53,AO53)-1)</f>
        <v>19</v>
      </c>
      <c r="AQ53" s="57">
        <f t="shared" ca="1" si="25"/>
        <v>35</v>
      </c>
      <c r="AR53" s="57">
        <f t="shared" ca="1" si="26"/>
        <v>46</v>
      </c>
      <c r="AS53" s="57">
        <f t="shared" ca="1" si="27"/>
        <v>2</v>
      </c>
      <c r="AT53" s="59" t="str">
        <f t="shared" ca="1" si="28"/>
        <v>=46</v>
      </c>
      <c r="AU53" t="str">
        <f t="shared" ca="1" si="8"/>
        <v>Nepal</v>
      </c>
      <c r="AV53" s="60">
        <f t="shared" ca="1" si="9"/>
        <v>30</v>
      </c>
      <c r="AX53">
        <f t="shared" ca="1" si="52"/>
        <v>68.8</v>
      </c>
      <c r="AY53" s="56">
        <f ca="1">IF($G53=0,"",RANK(AX53,AX$7:AX$69)+COUNTIF(AX$7:AX53,AX53)-1)</f>
        <v>12</v>
      </c>
      <c r="AZ53" s="57">
        <f t="shared" ca="1" si="29"/>
        <v>45</v>
      </c>
      <c r="BA53" s="57">
        <f t="shared" ca="1" si="30"/>
        <v>46</v>
      </c>
      <c r="BB53" s="57">
        <f t="shared" ca="1" si="31"/>
        <v>2</v>
      </c>
      <c r="BC53" s="59" t="str">
        <f t="shared" ca="1" si="32"/>
        <v>=46</v>
      </c>
      <c r="BD53" t="str">
        <f t="shared" ca="1" si="10"/>
        <v>Sri Lanka</v>
      </c>
      <c r="BE53" s="60">
        <f t="shared" ca="1" si="11"/>
        <v>31.3</v>
      </c>
      <c r="BG53">
        <f t="shared" ca="1" si="53"/>
        <v>37.799999999999997</v>
      </c>
      <c r="BH53" s="56">
        <f ca="1">IF($G53=0,"",RANK(BG53,BG$7:BG$69)+COUNTIF(BG$7:BG53,BG53)-1)</f>
        <v>35</v>
      </c>
      <c r="BI53" s="57">
        <f t="shared" ca="1" si="33"/>
        <v>43</v>
      </c>
      <c r="BJ53" s="57">
        <f t="shared" ca="1" si="34"/>
        <v>47</v>
      </c>
      <c r="BK53" s="57">
        <f t="shared" ca="1" si="35"/>
        <v>2</v>
      </c>
      <c r="BL53" s="59">
        <f t="shared" ca="1" si="36"/>
        <v>47</v>
      </c>
      <c r="BM53" t="str">
        <f t="shared" ca="1" si="12"/>
        <v>Rwanda</v>
      </c>
      <c r="BN53" s="60">
        <f t="shared" ca="1" si="13"/>
        <v>30.3</v>
      </c>
      <c r="BP53">
        <f t="shared" ca="1" si="54"/>
        <v>33.299999999999997</v>
      </c>
      <c r="BQ53" s="56">
        <f ca="1">IF($G53=0,"",RANK(BP53,BP$7:BP$69)+COUNTIF(BP$7:BP53,BP53)-1)</f>
        <v>29</v>
      </c>
      <c r="BR53" s="57">
        <f t="shared" ca="1" si="37"/>
        <v>46</v>
      </c>
      <c r="BS53" s="57">
        <f t="shared" ca="1" si="38"/>
        <v>40</v>
      </c>
      <c r="BT53" s="57">
        <f t="shared" ca="1" si="39"/>
        <v>2</v>
      </c>
      <c r="BU53" s="59" t="str">
        <f t="shared" ca="1" si="40"/>
        <v>=40</v>
      </c>
      <c r="BV53" t="str">
        <f t="shared" ca="1" si="14"/>
        <v>Tajikistan</v>
      </c>
      <c r="BW53" s="60">
        <f t="shared" ca="1" si="15"/>
        <v>16.7</v>
      </c>
      <c r="BY53">
        <f t="shared" ca="1" si="5"/>
        <v>48.4</v>
      </c>
      <c r="BZ53" s="56">
        <f ca="1">IF($G53=0,"",RANK(BY53,BY$7:BY$69)+COUNTIF(BY$7:BY53,BY53)-1)</f>
        <v>19</v>
      </c>
      <c r="CA53" s="57">
        <f t="shared" ca="1" si="41"/>
        <v>35</v>
      </c>
      <c r="CB53" s="57">
        <f t="shared" ca="1" si="42"/>
        <v>46</v>
      </c>
      <c r="CC53" s="57">
        <f t="shared" ca="1" si="43"/>
        <v>2</v>
      </c>
      <c r="CD53" s="59" t="str">
        <f t="shared" ca="1" si="44"/>
        <v>=46</v>
      </c>
      <c r="CE53" t="str">
        <f t="shared" ca="1" si="16"/>
        <v>Nepal</v>
      </c>
      <c r="CF53" s="60">
        <f t="shared" ca="1" si="17"/>
        <v>30</v>
      </c>
    </row>
    <row r="54" spans="1:84">
      <c r="A54">
        <v>48</v>
      </c>
      <c r="B54">
        <f ca="1">tblCountries!A50</f>
        <v>48</v>
      </c>
      <c r="C54" t="str">
        <f ca="1">tblCountries!C50</f>
        <v>TH</v>
      </c>
      <c r="D54" t="str">
        <f ca="1">tblCountries!B50</f>
        <v>Thailand</v>
      </c>
      <c r="E54">
        <f ca="1">tblCountries!H50</f>
        <v>2</v>
      </c>
      <c r="G54">
        <f ca="1">tblCountries!I50</f>
        <v>2</v>
      </c>
      <c r="H54">
        <f t="shared" ca="1" si="49"/>
        <v>21.2</v>
      </c>
      <c r="K54" s="56">
        <f ca="1">IF($G54=0,"",RANK(H54,H$7:H$69)+COUNTIF(H$7:H54,H54)-1)</f>
        <v>55</v>
      </c>
      <c r="L54" s="57">
        <f t="shared" ca="1" si="18"/>
        <v>29</v>
      </c>
      <c r="M54" s="57">
        <f t="shared" ca="1" si="19"/>
        <v>48</v>
      </c>
      <c r="N54" s="57">
        <f t="shared" ca="1" si="20"/>
        <v>2</v>
      </c>
      <c r="O54" s="59">
        <f t="shared" ca="1" si="21"/>
        <v>48</v>
      </c>
      <c r="P54" t="str">
        <f t="shared" ca="1" si="22"/>
        <v>Lebanon</v>
      </c>
      <c r="Q54" s="60">
        <f t="shared" ca="1" si="23"/>
        <v>29.3</v>
      </c>
      <c r="AF54">
        <f t="shared" ca="1" si="50"/>
        <v>21.2</v>
      </c>
      <c r="AG54" s="56">
        <f ca="1">IF($E54&lt;0,"",RANK(AF54,AF$7:AF$61)+COUNTIF(AF$7:AF54,AF54)-1)</f>
        <v>55</v>
      </c>
      <c r="AH54" s="57">
        <f t="shared" ca="1" si="7"/>
        <v>29</v>
      </c>
      <c r="AI54" s="57">
        <f t="shared" ca="1" si="24"/>
        <v>48</v>
      </c>
      <c r="AJ54" s="57">
        <f t="shared" ca="1" si="45"/>
        <v>2</v>
      </c>
      <c r="AK54" s="59">
        <f t="shared" ca="1" si="46"/>
        <v>48</v>
      </c>
      <c r="AL54" t="str">
        <f t="shared" ca="1" si="47"/>
        <v>Lebanon</v>
      </c>
      <c r="AM54" s="60">
        <f t="shared" ca="1" si="48"/>
        <v>29.3</v>
      </c>
      <c r="AO54">
        <f t="shared" ca="1" si="51"/>
        <v>21.2</v>
      </c>
      <c r="AP54" s="56">
        <f ca="1">IF($G54=0,"",RANK(AO54,AO$7:AO$69)+COUNTIF(AO$7:AO54,AO54)-1)</f>
        <v>55</v>
      </c>
      <c r="AQ54" s="57">
        <f t="shared" ca="1" si="25"/>
        <v>29</v>
      </c>
      <c r="AR54" s="57">
        <f t="shared" ca="1" si="26"/>
        <v>48</v>
      </c>
      <c r="AS54" s="57">
        <f t="shared" ca="1" si="27"/>
        <v>2</v>
      </c>
      <c r="AT54" s="59">
        <f t="shared" ca="1" si="28"/>
        <v>48</v>
      </c>
      <c r="AU54" t="str">
        <f t="shared" ca="1" si="8"/>
        <v>Lebanon</v>
      </c>
      <c r="AV54" s="60">
        <f t="shared" ca="1" si="9"/>
        <v>29.3</v>
      </c>
      <c r="AX54">
        <f t="shared" ca="1" si="52"/>
        <v>12.5</v>
      </c>
      <c r="AY54" s="56">
        <f ca="1">IF($G54=0,"",RANK(AX54,AX$7:AX$69)+COUNTIF(AX$7:AX54,AX54)-1)</f>
        <v>54</v>
      </c>
      <c r="AZ54" s="57">
        <f t="shared" ca="1" si="29"/>
        <v>52</v>
      </c>
      <c r="BA54" s="57">
        <f t="shared" ca="1" si="30"/>
        <v>46</v>
      </c>
      <c r="BB54" s="57">
        <f t="shared" ca="1" si="31"/>
        <v>2</v>
      </c>
      <c r="BC54" s="59" t="str">
        <f t="shared" ca="1" si="32"/>
        <v>=46</v>
      </c>
      <c r="BD54" t="str">
        <f t="shared" ca="1" si="10"/>
        <v>Uruguay</v>
      </c>
      <c r="BE54" s="60">
        <f t="shared" ca="1" si="11"/>
        <v>31.3</v>
      </c>
      <c r="BG54">
        <f t="shared" ca="1" si="53"/>
        <v>31.1</v>
      </c>
      <c r="BH54" s="56">
        <f ca="1">IF($G54=0,"",RANK(BG54,BG$7:BG$69)+COUNTIF(BG$7:BG54,BG54)-1)</f>
        <v>45</v>
      </c>
      <c r="BI54" s="57">
        <f t="shared" ca="1" si="33"/>
        <v>23</v>
      </c>
      <c r="BJ54" s="57">
        <f t="shared" ca="1" si="34"/>
        <v>48</v>
      </c>
      <c r="BK54" s="57">
        <f t="shared" ca="1" si="35"/>
        <v>2</v>
      </c>
      <c r="BL54" s="59">
        <f t="shared" ca="1" si="36"/>
        <v>48</v>
      </c>
      <c r="BM54" t="str">
        <f t="shared" ca="1" si="12"/>
        <v>Honduras</v>
      </c>
      <c r="BN54" s="60">
        <f t="shared" ca="1" si="13"/>
        <v>29.7</v>
      </c>
      <c r="BP54">
        <f t="shared" ca="1" si="54"/>
        <v>25</v>
      </c>
      <c r="BQ54" s="56">
        <f ca="1">IF($G54=0,"",RANK(BP54,BP$7:BP$69)+COUNTIF(BP$7:BP54,BP54)-1)</f>
        <v>38</v>
      </c>
      <c r="BR54" s="57">
        <f t="shared" ca="1" si="37"/>
        <v>49</v>
      </c>
      <c r="BS54" s="57">
        <f t="shared" ca="1" si="38"/>
        <v>40</v>
      </c>
      <c r="BT54" s="57">
        <f t="shared" ca="1" si="39"/>
        <v>2</v>
      </c>
      <c r="BU54" s="59" t="str">
        <f t="shared" ca="1" si="40"/>
        <v>=40</v>
      </c>
      <c r="BV54" t="str">
        <f t="shared" ca="1" si="14"/>
        <v>Trinidad and Tobago</v>
      </c>
      <c r="BW54" s="60">
        <f t="shared" ca="1" si="15"/>
        <v>16.7</v>
      </c>
      <c r="BY54">
        <f t="shared" ca="1" si="5"/>
        <v>21.2</v>
      </c>
      <c r="BZ54" s="56">
        <f ca="1">IF($G54=0,"",RANK(BY54,BY$7:BY$69)+COUNTIF(BY$7:BY54,BY54)-1)</f>
        <v>55</v>
      </c>
      <c r="CA54" s="57">
        <f t="shared" ca="1" si="41"/>
        <v>29</v>
      </c>
      <c r="CB54" s="57">
        <f t="shared" ca="1" si="42"/>
        <v>48</v>
      </c>
      <c r="CC54" s="57">
        <f t="shared" ca="1" si="43"/>
        <v>2</v>
      </c>
      <c r="CD54" s="59">
        <f t="shared" ca="1" si="44"/>
        <v>48</v>
      </c>
      <c r="CE54" t="str">
        <f t="shared" ca="1" si="16"/>
        <v>Lebanon</v>
      </c>
      <c r="CF54" s="60">
        <f t="shared" ca="1" si="17"/>
        <v>29.3</v>
      </c>
    </row>
    <row r="55" spans="1:84">
      <c r="A55">
        <v>49</v>
      </c>
      <c r="B55">
        <f ca="1">tblCountries!A51</f>
        <v>49</v>
      </c>
      <c r="C55" t="str">
        <f ca="1">tblCountries!C51</f>
        <v>TT</v>
      </c>
      <c r="D55" t="str">
        <f ca="1">tblCountries!B51</f>
        <v>Trinidad and Tobago</v>
      </c>
      <c r="E55">
        <f ca="1">tblCountries!H51</f>
        <v>2</v>
      </c>
      <c r="G55">
        <f ca="1">tblCountries!I51</f>
        <v>2</v>
      </c>
      <c r="H55">
        <f t="shared" ca="1" si="49"/>
        <v>22.9</v>
      </c>
      <c r="K55" s="56">
        <f ca="1">IF($G55=0,"",RANK(H55,H$7:H$69)+COUNTIF(H$7:H55,H55)-1)</f>
        <v>53</v>
      </c>
      <c r="L55" s="57">
        <f t="shared" ca="1" si="18"/>
        <v>3</v>
      </c>
      <c r="M55" s="57">
        <f t="shared" ca="1" si="19"/>
        <v>49</v>
      </c>
      <c r="N55" s="57">
        <f t="shared" ca="1" si="20"/>
        <v>2</v>
      </c>
      <c r="O55" s="59">
        <f t="shared" ca="1" si="21"/>
        <v>49</v>
      </c>
      <c r="P55" t="str">
        <f t="shared" ca="1" si="22"/>
        <v>Azerbaijan</v>
      </c>
      <c r="Q55" s="60">
        <f t="shared" ca="1" si="23"/>
        <v>29</v>
      </c>
      <c r="AF55">
        <f t="shared" ca="1" si="50"/>
        <v>22.9</v>
      </c>
      <c r="AG55" s="56">
        <f ca="1">IF($E55&lt;0,"",RANK(AF55,AF$7:AF$61)+COUNTIF(AF$7:AF55,AF55)-1)</f>
        <v>53</v>
      </c>
      <c r="AH55" s="57">
        <f t="shared" ca="1" si="7"/>
        <v>3</v>
      </c>
      <c r="AI55" s="57">
        <f t="shared" ca="1" si="24"/>
        <v>49</v>
      </c>
      <c r="AJ55" s="57">
        <f t="shared" ca="1" si="45"/>
        <v>2</v>
      </c>
      <c r="AK55" s="59">
        <f t="shared" ca="1" si="46"/>
        <v>49</v>
      </c>
      <c r="AL55" t="str">
        <f t="shared" ca="1" si="47"/>
        <v>Azerbaijan</v>
      </c>
      <c r="AM55" s="60">
        <f t="shared" ca="1" si="48"/>
        <v>29</v>
      </c>
      <c r="AO55">
        <f t="shared" ca="1" si="51"/>
        <v>22.9</v>
      </c>
      <c r="AP55" s="56">
        <f ca="1">IF($G55=0,"",RANK(AO55,AO$7:AO$69)+COUNTIF(AO$7:AO55,AO55)-1)</f>
        <v>53</v>
      </c>
      <c r="AQ55" s="57">
        <f t="shared" ca="1" si="25"/>
        <v>3</v>
      </c>
      <c r="AR55" s="57">
        <f t="shared" ca="1" si="26"/>
        <v>49</v>
      </c>
      <c r="AS55" s="57">
        <f t="shared" ca="1" si="27"/>
        <v>2</v>
      </c>
      <c r="AT55" s="59">
        <f t="shared" ca="1" si="28"/>
        <v>49</v>
      </c>
      <c r="AU55" t="str">
        <f t="shared" ca="1" si="8"/>
        <v>Azerbaijan</v>
      </c>
      <c r="AV55" s="60">
        <f t="shared" ca="1" si="9"/>
        <v>29</v>
      </c>
      <c r="AX55">
        <f t="shared" ca="1" si="52"/>
        <v>12.5</v>
      </c>
      <c r="AY55" s="56">
        <f ca="1">IF($G55=0,"",RANK(AX55,AX$7:AX$69)+COUNTIF(AX$7:AX55,AX55)-1)</f>
        <v>55</v>
      </c>
      <c r="AZ55" s="57">
        <f t="shared" ca="1" si="29"/>
        <v>54</v>
      </c>
      <c r="BA55" s="57">
        <f t="shared" ca="1" si="30"/>
        <v>46</v>
      </c>
      <c r="BB55" s="57">
        <f t="shared" ca="1" si="31"/>
        <v>2</v>
      </c>
      <c r="BC55" s="59" t="str">
        <f t="shared" ca="1" si="32"/>
        <v>=46</v>
      </c>
      <c r="BD55" t="str">
        <f t="shared" ca="1" si="10"/>
        <v>Vietnam</v>
      </c>
      <c r="BE55" s="60">
        <f t="shared" ca="1" si="11"/>
        <v>31.3</v>
      </c>
      <c r="BG55">
        <f t="shared" ca="1" si="53"/>
        <v>56.1</v>
      </c>
      <c r="BH55" s="56">
        <f ca="1">IF($G55=0,"",RANK(BG55,BG$7:BG$69)+COUNTIF(BG$7:BG55,BG55)-1)</f>
        <v>9</v>
      </c>
      <c r="BI55" s="57">
        <f t="shared" ca="1" si="33"/>
        <v>22</v>
      </c>
      <c r="BJ55" s="57">
        <f t="shared" ca="1" si="34"/>
        <v>49</v>
      </c>
      <c r="BK55" s="57">
        <f t="shared" ca="1" si="35"/>
        <v>2</v>
      </c>
      <c r="BL55" s="59">
        <f t="shared" ca="1" si="36"/>
        <v>49</v>
      </c>
      <c r="BM55" t="str">
        <f t="shared" ca="1" si="12"/>
        <v>Haiti</v>
      </c>
      <c r="BN55" s="60">
        <f t="shared" ca="1" si="13"/>
        <v>29.4</v>
      </c>
      <c r="BP55">
        <f t="shared" ca="1" si="54"/>
        <v>16.7</v>
      </c>
      <c r="BQ55" s="56">
        <f ca="1">IF($G55=0,"",RANK(BP55,BP$7:BP$69)+COUNTIF(BP$7:BP55,BP55)-1)</f>
        <v>48</v>
      </c>
      <c r="BR55" s="57">
        <f t="shared" ca="1" si="37"/>
        <v>50</v>
      </c>
      <c r="BS55" s="57">
        <f t="shared" ca="1" si="38"/>
        <v>40</v>
      </c>
      <c r="BT55" s="57">
        <f t="shared" ca="1" si="39"/>
        <v>2</v>
      </c>
      <c r="BU55" s="59" t="str">
        <f t="shared" ca="1" si="40"/>
        <v>=40</v>
      </c>
      <c r="BV55" t="str">
        <f t="shared" ca="1" si="14"/>
        <v>Turkey</v>
      </c>
      <c r="BW55" s="60">
        <f t="shared" ca="1" si="15"/>
        <v>16.7</v>
      </c>
      <c r="BY55">
        <f t="shared" ca="1" si="5"/>
        <v>22.9</v>
      </c>
      <c r="BZ55" s="56">
        <f ca="1">IF($G55=0,"",RANK(BY55,BY$7:BY$69)+COUNTIF(BY$7:BY55,BY55)-1)</f>
        <v>53</v>
      </c>
      <c r="CA55" s="57">
        <f t="shared" ca="1" si="41"/>
        <v>3</v>
      </c>
      <c r="CB55" s="57">
        <f t="shared" ca="1" si="42"/>
        <v>49</v>
      </c>
      <c r="CC55" s="57">
        <f t="shared" ca="1" si="43"/>
        <v>2</v>
      </c>
      <c r="CD55" s="59">
        <f t="shared" ca="1" si="44"/>
        <v>49</v>
      </c>
      <c r="CE55" t="str">
        <f t="shared" ca="1" si="16"/>
        <v>Azerbaijan</v>
      </c>
      <c r="CF55" s="60">
        <f t="shared" ca="1" si="17"/>
        <v>29</v>
      </c>
    </row>
    <row r="56" spans="1:84">
      <c r="A56">
        <v>50</v>
      </c>
      <c r="B56">
        <f ca="1">tblCountries!A52</f>
        <v>50</v>
      </c>
      <c r="C56" t="str">
        <f ca="1">tblCountries!C52</f>
        <v>TR</v>
      </c>
      <c r="D56" t="str">
        <f ca="1">tblCountries!B52</f>
        <v>Turkey</v>
      </c>
      <c r="E56">
        <f ca="1">tblCountries!H52</f>
        <v>2</v>
      </c>
      <c r="G56">
        <f ca="1">tblCountries!I52</f>
        <v>2</v>
      </c>
      <c r="H56">
        <f t="shared" ca="1" si="49"/>
        <v>30.3</v>
      </c>
      <c r="K56" s="56">
        <f ca="1">IF($G56=0,"",RANK(H56,H$7:H$69)+COUNTIF(H$7:H56,H56)-1)</f>
        <v>45</v>
      </c>
      <c r="L56" s="57">
        <f t="shared" ca="1" si="18"/>
        <v>52</v>
      </c>
      <c r="M56" s="57">
        <f t="shared" ca="1" si="19"/>
        <v>50</v>
      </c>
      <c r="N56" s="57">
        <f t="shared" ca="1" si="20"/>
        <v>2</v>
      </c>
      <c r="O56" s="59">
        <f t="shared" ca="1" si="21"/>
        <v>50</v>
      </c>
      <c r="P56" t="str">
        <f t="shared" ca="1" si="22"/>
        <v>Uruguay</v>
      </c>
      <c r="Q56" s="60">
        <f t="shared" ca="1" si="23"/>
        <v>28.4</v>
      </c>
      <c r="AF56">
        <f t="shared" ca="1" si="50"/>
        <v>30.3</v>
      </c>
      <c r="AG56" s="56">
        <f ca="1">IF($E56&lt;0,"",RANK(AF56,AF$7:AF$61)+COUNTIF(AF$7:AF56,AF56)-1)</f>
        <v>45</v>
      </c>
      <c r="AH56" s="57">
        <f t="shared" ca="1" si="7"/>
        <v>52</v>
      </c>
      <c r="AI56" s="57">
        <f t="shared" ca="1" si="24"/>
        <v>50</v>
      </c>
      <c r="AJ56" s="57">
        <f t="shared" ca="1" si="45"/>
        <v>2</v>
      </c>
      <c r="AK56" s="59">
        <f t="shared" ca="1" si="46"/>
        <v>50</v>
      </c>
      <c r="AL56" t="str">
        <f t="shared" ca="1" si="47"/>
        <v>Uruguay</v>
      </c>
      <c r="AM56" s="60">
        <f t="shared" ca="1" si="48"/>
        <v>28.4</v>
      </c>
      <c r="AO56">
        <f t="shared" ca="1" si="51"/>
        <v>30.3</v>
      </c>
      <c r="AP56" s="56">
        <f ca="1">IF($G56=0,"",RANK(AO56,AO$7:AO$69)+COUNTIF(AO$7:AO56,AO56)-1)</f>
        <v>45</v>
      </c>
      <c r="AQ56" s="57">
        <f t="shared" ca="1" si="25"/>
        <v>52</v>
      </c>
      <c r="AR56" s="57">
        <f t="shared" ca="1" si="26"/>
        <v>50</v>
      </c>
      <c r="AS56" s="57">
        <f t="shared" ca="1" si="27"/>
        <v>2</v>
      </c>
      <c r="AT56" s="59">
        <f t="shared" ca="1" si="28"/>
        <v>50</v>
      </c>
      <c r="AU56" t="str">
        <f t="shared" ca="1" si="8"/>
        <v>Uruguay</v>
      </c>
      <c r="AV56" s="60">
        <f t="shared" ca="1" si="9"/>
        <v>28.4</v>
      </c>
      <c r="AX56">
        <f t="shared" ca="1" si="52"/>
        <v>25</v>
      </c>
      <c r="AY56" s="56">
        <f ca="1">IF($G56=0,"",RANK(AX56,AX$7:AX$69)+COUNTIF(AX$7:AX56,AX56)-1)</f>
        <v>52</v>
      </c>
      <c r="AZ56" s="57">
        <f t="shared" ca="1" si="29"/>
        <v>1</v>
      </c>
      <c r="BA56" s="57">
        <f t="shared" ca="1" si="30"/>
        <v>50</v>
      </c>
      <c r="BB56" s="57">
        <f t="shared" ca="1" si="31"/>
        <v>2</v>
      </c>
      <c r="BC56" s="59" t="str">
        <f t="shared" ca="1" si="32"/>
        <v>=50</v>
      </c>
      <c r="BD56" t="str">
        <f t="shared" ca="1" si="10"/>
        <v>Argentina</v>
      </c>
      <c r="BE56" s="60">
        <f t="shared" ca="1" si="11"/>
        <v>25</v>
      </c>
      <c r="BG56">
        <f t="shared" ca="1" si="53"/>
        <v>68.099999999999994</v>
      </c>
      <c r="BH56" s="56">
        <f ca="1">IF($G56=0,"",RANK(BG56,BG$7:BG$69)+COUNTIF(BG$7:BG56,BG56)-1)</f>
        <v>2</v>
      </c>
      <c r="BI56" s="57">
        <f t="shared" ca="1" si="33"/>
        <v>54</v>
      </c>
      <c r="BJ56" s="57">
        <f t="shared" ca="1" si="34"/>
        <v>50</v>
      </c>
      <c r="BK56" s="57">
        <f t="shared" ca="1" si="35"/>
        <v>2</v>
      </c>
      <c r="BL56" s="59">
        <f t="shared" ca="1" si="36"/>
        <v>50</v>
      </c>
      <c r="BM56" t="str">
        <f t="shared" ca="1" si="12"/>
        <v>Vietnam</v>
      </c>
      <c r="BN56" s="60">
        <f t="shared" ca="1" si="13"/>
        <v>28.6</v>
      </c>
      <c r="BP56">
        <f t="shared" ca="1" si="54"/>
        <v>16.7</v>
      </c>
      <c r="BQ56" s="56">
        <f ca="1">IF($G56=0,"",RANK(BP56,BP$7:BP$69)+COUNTIF(BP$7:BP56,BP56)-1)</f>
        <v>49</v>
      </c>
      <c r="BR56" s="57">
        <f t="shared" ca="1" si="37"/>
        <v>52</v>
      </c>
      <c r="BS56" s="57">
        <f t="shared" ca="1" si="38"/>
        <v>40</v>
      </c>
      <c r="BT56" s="57">
        <f t="shared" ca="1" si="39"/>
        <v>2</v>
      </c>
      <c r="BU56" s="59" t="str">
        <f t="shared" ca="1" si="40"/>
        <v>=40</v>
      </c>
      <c r="BV56" t="str">
        <f t="shared" ca="1" si="14"/>
        <v>Uruguay</v>
      </c>
      <c r="BW56" s="60">
        <f t="shared" ca="1" si="15"/>
        <v>16.7</v>
      </c>
      <c r="BY56">
        <f t="shared" ca="1" si="5"/>
        <v>30.3</v>
      </c>
      <c r="BZ56" s="56">
        <f ca="1">IF($G56=0,"",RANK(BY56,BY$7:BY$69)+COUNTIF(BY$7:BY56,BY56)-1)</f>
        <v>45</v>
      </c>
      <c r="CA56" s="57">
        <f t="shared" ca="1" si="41"/>
        <v>52</v>
      </c>
      <c r="CB56" s="57">
        <f t="shared" ca="1" si="42"/>
        <v>50</v>
      </c>
      <c r="CC56" s="57">
        <f t="shared" ca="1" si="43"/>
        <v>2</v>
      </c>
      <c r="CD56" s="59">
        <f t="shared" ca="1" si="44"/>
        <v>50</v>
      </c>
      <c r="CE56" t="str">
        <f t="shared" ca="1" si="16"/>
        <v>Uruguay</v>
      </c>
      <c r="CF56" s="60">
        <f t="shared" ca="1" si="17"/>
        <v>28.4</v>
      </c>
    </row>
    <row r="57" spans="1:84">
      <c r="A57">
        <v>51</v>
      </c>
      <c r="B57">
        <f ca="1">tblCountries!A53</f>
        <v>51</v>
      </c>
      <c r="C57" t="str">
        <f ca="1">tblCountries!C53</f>
        <v>UG</v>
      </c>
      <c r="D57" t="str">
        <f ca="1">tblCountries!B53</f>
        <v>Uganda</v>
      </c>
      <c r="E57">
        <f ca="1">tblCountries!H53</f>
        <v>2</v>
      </c>
      <c r="G57">
        <f ca="1">tblCountries!I53</f>
        <v>2</v>
      </c>
      <c r="H57">
        <f t="shared" ca="1" si="49"/>
        <v>57.5</v>
      </c>
      <c r="K57" s="56">
        <f ca="1">IF($G57=0,"",RANK(H57,H$7:H$69)+COUNTIF(H$7:H57,H57)-1)</f>
        <v>10</v>
      </c>
      <c r="L57" s="57">
        <f t="shared" ca="1" si="18"/>
        <v>53</v>
      </c>
      <c r="M57" s="57">
        <f t="shared" ca="1" si="19"/>
        <v>51</v>
      </c>
      <c r="N57" s="57">
        <f t="shared" ca="1" si="20"/>
        <v>2</v>
      </c>
      <c r="O57" s="59">
        <f t="shared" ca="1" si="21"/>
        <v>51</v>
      </c>
      <c r="P57" t="str">
        <f t="shared" ca="1" si="22"/>
        <v>Venezuela</v>
      </c>
      <c r="Q57" s="60">
        <f t="shared" ca="1" si="23"/>
        <v>24.1</v>
      </c>
      <c r="AF57">
        <f t="shared" ca="1" si="50"/>
        <v>57.5</v>
      </c>
      <c r="AG57" s="56">
        <f ca="1">IF($E57&lt;0,"",RANK(AF57,AF$7:AF$61)+COUNTIF(AF$7:AF57,AF57)-1)</f>
        <v>10</v>
      </c>
      <c r="AH57" s="57">
        <f t="shared" ca="1" si="7"/>
        <v>53</v>
      </c>
      <c r="AI57" s="57">
        <f t="shared" ca="1" si="24"/>
        <v>51</v>
      </c>
      <c r="AJ57" s="57">
        <f t="shared" ca="1" si="45"/>
        <v>2</v>
      </c>
      <c r="AK57" s="59">
        <f t="shared" ca="1" si="46"/>
        <v>51</v>
      </c>
      <c r="AL57" t="str">
        <f t="shared" ca="1" si="47"/>
        <v>Venezuela</v>
      </c>
      <c r="AM57" s="60">
        <f t="shared" ca="1" si="48"/>
        <v>24.1</v>
      </c>
      <c r="AO57">
        <f t="shared" ca="1" si="51"/>
        <v>57.5</v>
      </c>
      <c r="AP57" s="56">
        <f ca="1">IF($G57=0,"",RANK(AO57,AO$7:AO$69)+COUNTIF(AO$7:AO57,AO57)-1)</f>
        <v>10</v>
      </c>
      <c r="AQ57" s="57">
        <f t="shared" ca="1" si="25"/>
        <v>53</v>
      </c>
      <c r="AR57" s="57">
        <f t="shared" ca="1" si="26"/>
        <v>51</v>
      </c>
      <c r="AS57" s="57">
        <f t="shared" ca="1" si="27"/>
        <v>2</v>
      </c>
      <c r="AT57" s="59">
        <f t="shared" ca="1" si="28"/>
        <v>51</v>
      </c>
      <c r="AU57" t="str">
        <f t="shared" ca="1" si="8"/>
        <v>Venezuela</v>
      </c>
      <c r="AV57" s="60">
        <f t="shared" ca="1" si="9"/>
        <v>24.1</v>
      </c>
      <c r="AX57">
        <f t="shared" ca="1" si="52"/>
        <v>75</v>
      </c>
      <c r="AY57" s="56">
        <f ca="1">IF($G57=0,"",RANK(AX57,AX$7:AX$69)+COUNTIF(AX$7:AX57,AX57)-1)</f>
        <v>9</v>
      </c>
      <c r="AZ57" s="57">
        <f t="shared" ca="1" si="29"/>
        <v>26</v>
      </c>
      <c r="BA57" s="57">
        <f t="shared" ca="1" si="30"/>
        <v>50</v>
      </c>
      <c r="BB57" s="57">
        <f t="shared" ca="1" si="31"/>
        <v>2</v>
      </c>
      <c r="BC57" s="59" t="str">
        <f t="shared" ca="1" si="32"/>
        <v>=50</v>
      </c>
      <c r="BD57" t="str">
        <f t="shared" ca="1" si="10"/>
        <v>Jamaica</v>
      </c>
      <c r="BE57" s="60">
        <f t="shared" ca="1" si="11"/>
        <v>25</v>
      </c>
      <c r="BG57">
        <f t="shared" ca="1" si="53"/>
        <v>54.2</v>
      </c>
      <c r="BH57" s="56">
        <f ca="1">IF($G57=0,"",RANK(BG57,BG$7:BG$69)+COUNTIF(BG$7:BG57,BG57)-1)</f>
        <v>11</v>
      </c>
      <c r="BI57" s="57">
        <f t="shared" ca="1" si="33"/>
        <v>30</v>
      </c>
      <c r="BJ57" s="57">
        <f t="shared" ca="1" si="34"/>
        <v>51</v>
      </c>
      <c r="BK57" s="57">
        <f t="shared" ca="1" si="35"/>
        <v>2</v>
      </c>
      <c r="BL57" s="59">
        <f t="shared" ca="1" si="36"/>
        <v>51</v>
      </c>
      <c r="BM57" t="str">
        <f t="shared" ca="1" si="12"/>
        <v>Madagascar</v>
      </c>
      <c r="BN57" s="60">
        <f t="shared" ca="1" si="13"/>
        <v>28.1</v>
      </c>
      <c r="BP57">
        <f t="shared" ca="1" si="54"/>
        <v>41.7</v>
      </c>
      <c r="BQ57" s="56">
        <f ca="1">IF($G57=0,"",RANK(BP57,BP$7:BP$69)+COUNTIF(BP$7:BP57,BP57)-1)</f>
        <v>19</v>
      </c>
      <c r="BR57" s="57">
        <f t="shared" ca="1" si="37"/>
        <v>53</v>
      </c>
      <c r="BS57" s="57">
        <f t="shared" ca="1" si="38"/>
        <v>40</v>
      </c>
      <c r="BT57" s="57">
        <f t="shared" ca="1" si="39"/>
        <v>2</v>
      </c>
      <c r="BU57" s="59" t="str">
        <f t="shared" ca="1" si="40"/>
        <v>=40</v>
      </c>
      <c r="BV57" t="str">
        <f t="shared" ca="1" si="14"/>
        <v>Venezuela</v>
      </c>
      <c r="BW57" s="60">
        <f t="shared" ca="1" si="15"/>
        <v>16.7</v>
      </c>
      <c r="BY57">
        <f t="shared" ca="1" si="5"/>
        <v>57.5</v>
      </c>
      <c r="BZ57" s="56">
        <f ca="1">IF($G57=0,"",RANK(BY57,BY$7:BY$69)+COUNTIF(BY$7:BY57,BY57)-1)</f>
        <v>10</v>
      </c>
      <c r="CA57" s="57">
        <f t="shared" ca="1" si="41"/>
        <v>53</v>
      </c>
      <c r="CB57" s="57">
        <f t="shared" ca="1" si="42"/>
        <v>51</v>
      </c>
      <c r="CC57" s="57">
        <f t="shared" ca="1" si="43"/>
        <v>2</v>
      </c>
      <c r="CD57" s="59">
        <f t="shared" ca="1" si="44"/>
        <v>51</v>
      </c>
      <c r="CE57" t="str">
        <f t="shared" ca="1" si="16"/>
        <v>Venezuela</v>
      </c>
      <c r="CF57" s="60">
        <f t="shared" ca="1" si="17"/>
        <v>24.1</v>
      </c>
    </row>
    <row r="58" spans="1:84">
      <c r="A58">
        <v>52</v>
      </c>
      <c r="B58">
        <f ca="1">tblCountries!A54</f>
        <v>52</v>
      </c>
      <c r="C58" t="str">
        <f ca="1">tblCountries!C54</f>
        <v>UY</v>
      </c>
      <c r="D58" t="str">
        <f ca="1">tblCountries!B54</f>
        <v>Uruguay</v>
      </c>
      <c r="E58">
        <f ca="1">tblCountries!H54</f>
        <v>2</v>
      </c>
      <c r="G58">
        <f ca="1">tblCountries!I54</f>
        <v>2</v>
      </c>
      <c r="H58">
        <f t="shared" ca="1" si="49"/>
        <v>28.4</v>
      </c>
      <c r="K58" s="56">
        <f ca="1">IF($G58=0,"",RANK(H58,H$7:H$69)+COUNTIF(H$7:H58,H58)-1)</f>
        <v>50</v>
      </c>
      <c r="L58" s="57">
        <f t="shared" ca="1" si="18"/>
        <v>26</v>
      </c>
      <c r="M58" s="57">
        <f t="shared" ca="1" si="19"/>
        <v>52</v>
      </c>
      <c r="N58" s="57">
        <f t="shared" ca="1" si="20"/>
        <v>2</v>
      </c>
      <c r="O58" s="59">
        <f t="shared" ca="1" si="21"/>
        <v>52</v>
      </c>
      <c r="P58" t="str">
        <f t="shared" ca="1" si="22"/>
        <v>Jamaica</v>
      </c>
      <c r="Q58" s="60">
        <f t="shared" ca="1" si="23"/>
        <v>23.7</v>
      </c>
      <c r="AF58">
        <f t="shared" ca="1" si="50"/>
        <v>28.4</v>
      </c>
      <c r="AG58" s="56">
        <f ca="1">IF($E58&lt;0,"",RANK(AF58,AF$7:AF$61)+COUNTIF(AF$7:AF58,AF58)-1)</f>
        <v>50</v>
      </c>
      <c r="AH58" s="57">
        <f t="shared" ca="1" si="7"/>
        <v>26</v>
      </c>
      <c r="AI58" s="57">
        <f t="shared" ca="1" si="24"/>
        <v>52</v>
      </c>
      <c r="AJ58" s="57">
        <f t="shared" ca="1" si="45"/>
        <v>2</v>
      </c>
      <c r="AK58" s="59">
        <f t="shared" ca="1" si="46"/>
        <v>52</v>
      </c>
      <c r="AL58" t="str">
        <f t="shared" ca="1" si="47"/>
        <v>Jamaica</v>
      </c>
      <c r="AM58" s="60">
        <f t="shared" ca="1" si="48"/>
        <v>23.7</v>
      </c>
      <c r="AO58">
        <f t="shared" ca="1" si="51"/>
        <v>28.4</v>
      </c>
      <c r="AP58" s="56">
        <f ca="1">IF($G58=0,"",RANK(AO58,AO$7:AO$69)+COUNTIF(AO$7:AO58,AO58)-1)</f>
        <v>50</v>
      </c>
      <c r="AQ58" s="57">
        <f t="shared" ca="1" si="25"/>
        <v>26</v>
      </c>
      <c r="AR58" s="57">
        <f t="shared" ca="1" si="26"/>
        <v>52</v>
      </c>
      <c r="AS58" s="57">
        <f t="shared" ca="1" si="27"/>
        <v>2</v>
      </c>
      <c r="AT58" s="59">
        <f t="shared" ca="1" si="28"/>
        <v>52</v>
      </c>
      <c r="AU58" t="str">
        <f t="shared" ca="1" si="8"/>
        <v>Jamaica</v>
      </c>
      <c r="AV58" s="60">
        <f t="shared" ca="1" si="9"/>
        <v>23.7</v>
      </c>
      <c r="AX58">
        <f t="shared" ca="1" si="52"/>
        <v>31.3</v>
      </c>
      <c r="AY58" s="56">
        <f ca="1">IF($G58=0,"",RANK(AX58,AX$7:AX$69)+COUNTIF(AX$7:AX58,AX58)-1)</f>
        <v>48</v>
      </c>
      <c r="AZ58" s="57">
        <f t="shared" ca="1" si="29"/>
        <v>50</v>
      </c>
      <c r="BA58" s="57">
        <f t="shared" ca="1" si="30"/>
        <v>50</v>
      </c>
      <c r="BB58" s="57">
        <f t="shared" ca="1" si="31"/>
        <v>2</v>
      </c>
      <c r="BC58" s="59" t="str">
        <f t="shared" ca="1" si="32"/>
        <v>=50</v>
      </c>
      <c r="BD58" t="str">
        <f t="shared" ca="1" si="10"/>
        <v>Turkey</v>
      </c>
      <c r="BE58" s="60">
        <f t="shared" ca="1" si="11"/>
        <v>25</v>
      </c>
      <c r="BG58">
        <f t="shared" ca="1" si="53"/>
        <v>45.8</v>
      </c>
      <c r="BH58" s="56">
        <f ca="1">IF($G58=0,"",RANK(BG58,BG$7:BG$69)+COUNTIF(BG$7:BG58,BG58)-1)</f>
        <v>24</v>
      </c>
      <c r="BI58" s="57">
        <f t="shared" ca="1" si="33"/>
        <v>16</v>
      </c>
      <c r="BJ58" s="57">
        <f t="shared" ca="1" si="34"/>
        <v>52</v>
      </c>
      <c r="BK58" s="57">
        <f t="shared" ca="1" si="35"/>
        <v>2</v>
      </c>
      <c r="BL58" s="59">
        <f t="shared" ca="1" si="36"/>
        <v>52</v>
      </c>
      <c r="BM58" t="str">
        <f t="shared" ca="1" si="12"/>
        <v>Ecuador</v>
      </c>
      <c r="BN58" s="60">
        <f t="shared" ca="1" si="13"/>
        <v>27.5</v>
      </c>
      <c r="BP58">
        <f t="shared" ca="1" si="54"/>
        <v>16.7</v>
      </c>
      <c r="BQ58" s="56">
        <f ca="1">IF($G58=0,"",RANK(BP58,BP$7:BP$69)+COUNTIF(BP$7:BP58,BP58)-1)</f>
        <v>50</v>
      </c>
      <c r="BR58" s="57">
        <f t="shared" ca="1" si="37"/>
        <v>26</v>
      </c>
      <c r="BS58" s="57">
        <f t="shared" ca="1" si="38"/>
        <v>52</v>
      </c>
      <c r="BT58" s="57">
        <f t="shared" ca="1" si="39"/>
        <v>2</v>
      </c>
      <c r="BU58" s="59" t="str">
        <f t="shared" ca="1" si="40"/>
        <v>=52</v>
      </c>
      <c r="BV58" t="str">
        <f t="shared" ca="1" si="14"/>
        <v>Jamaica</v>
      </c>
      <c r="BW58" s="60">
        <f t="shared" ca="1" si="15"/>
        <v>8.3000000000000007</v>
      </c>
      <c r="BY58">
        <f t="shared" ca="1" si="5"/>
        <v>28.4</v>
      </c>
      <c r="BZ58" s="56">
        <f ca="1">IF($G58=0,"",RANK(BY58,BY$7:BY$69)+COUNTIF(BY$7:BY58,BY58)-1)</f>
        <v>50</v>
      </c>
      <c r="CA58" s="57">
        <f t="shared" ca="1" si="41"/>
        <v>26</v>
      </c>
      <c r="CB58" s="57">
        <f t="shared" ca="1" si="42"/>
        <v>52</v>
      </c>
      <c r="CC58" s="57">
        <f t="shared" ca="1" si="43"/>
        <v>2</v>
      </c>
      <c r="CD58" s="59">
        <f t="shared" ca="1" si="44"/>
        <v>52</v>
      </c>
      <c r="CE58" t="str">
        <f t="shared" ca="1" si="16"/>
        <v>Jamaica</v>
      </c>
      <c r="CF58" s="60">
        <f t="shared" ca="1" si="17"/>
        <v>23.7</v>
      </c>
    </row>
    <row r="59" spans="1:84">
      <c r="A59">
        <v>53</v>
      </c>
      <c r="B59">
        <f ca="1">tblCountries!A55</f>
        <v>53</v>
      </c>
      <c r="C59" t="str">
        <f ca="1">tblCountries!C55</f>
        <v>VE</v>
      </c>
      <c r="D59" t="str">
        <f ca="1">tblCountries!B55</f>
        <v>Venezuela</v>
      </c>
      <c r="E59">
        <f ca="1">tblCountries!H55</f>
        <v>2</v>
      </c>
      <c r="G59">
        <f ca="1">tblCountries!I55</f>
        <v>2</v>
      </c>
      <c r="H59">
        <f t="shared" ca="1" si="49"/>
        <v>24.1</v>
      </c>
      <c r="K59" s="56">
        <f ca="1">IF($G59=0,"",RANK(H59,H$7:H$69)+COUNTIF(H$7:H59,H59)-1)</f>
        <v>51</v>
      </c>
      <c r="L59" s="57">
        <f t="shared" ca="1" si="18"/>
        <v>49</v>
      </c>
      <c r="M59" s="57">
        <f t="shared" ca="1" si="19"/>
        <v>53</v>
      </c>
      <c r="N59" s="57">
        <f t="shared" ca="1" si="20"/>
        <v>2</v>
      </c>
      <c r="O59" s="59">
        <f t="shared" ca="1" si="21"/>
        <v>53</v>
      </c>
      <c r="P59" t="str">
        <f t="shared" ca="1" si="22"/>
        <v>Trinidad and Tobago</v>
      </c>
      <c r="Q59" s="60">
        <f t="shared" ca="1" si="23"/>
        <v>22.9</v>
      </c>
      <c r="AF59">
        <f t="shared" ca="1" si="50"/>
        <v>24.1</v>
      </c>
      <c r="AG59" s="56">
        <f ca="1">IF($E59&lt;0,"",RANK(AF59,AF$7:AF$61)+COUNTIF(AF$7:AF59,AF59)-1)</f>
        <v>51</v>
      </c>
      <c r="AH59" s="57">
        <f t="shared" ca="1" si="7"/>
        <v>49</v>
      </c>
      <c r="AI59" s="57">
        <f t="shared" ca="1" si="24"/>
        <v>53</v>
      </c>
      <c r="AJ59" s="57">
        <f t="shared" ca="1" si="45"/>
        <v>2</v>
      </c>
      <c r="AK59" s="59">
        <f t="shared" ca="1" si="46"/>
        <v>53</v>
      </c>
      <c r="AL59" t="str">
        <f t="shared" ca="1" si="47"/>
        <v>Trinidad and Tobago</v>
      </c>
      <c r="AM59" s="60">
        <f t="shared" ca="1" si="48"/>
        <v>22.9</v>
      </c>
      <c r="AO59">
        <f t="shared" ca="1" si="51"/>
        <v>24.1</v>
      </c>
      <c r="AP59" s="56">
        <f ca="1">IF($G59=0,"",RANK(AO59,AO$7:AO$69)+COUNTIF(AO$7:AO59,AO59)-1)</f>
        <v>51</v>
      </c>
      <c r="AQ59" s="57">
        <f t="shared" ca="1" si="25"/>
        <v>49</v>
      </c>
      <c r="AR59" s="57">
        <f t="shared" ca="1" si="26"/>
        <v>53</v>
      </c>
      <c r="AS59" s="57">
        <f t="shared" ca="1" si="27"/>
        <v>2</v>
      </c>
      <c r="AT59" s="59">
        <f t="shared" ca="1" si="28"/>
        <v>53</v>
      </c>
      <c r="AU59" t="str">
        <f t="shared" ca="1" si="8"/>
        <v>Trinidad and Tobago</v>
      </c>
      <c r="AV59" s="60">
        <f t="shared" ca="1" si="9"/>
        <v>22.9</v>
      </c>
      <c r="AX59">
        <f t="shared" ca="1" si="52"/>
        <v>25</v>
      </c>
      <c r="AY59" s="56">
        <f ca="1">IF($G59=0,"",RANK(AX59,AX$7:AX$69)+COUNTIF(AX$7:AX59,AX59)-1)</f>
        <v>53</v>
      </c>
      <c r="AZ59" s="57">
        <f t="shared" ca="1" si="29"/>
        <v>53</v>
      </c>
      <c r="BA59" s="57">
        <f t="shared" ca="1" si="30"/>
        <v>50</v>
      </c>
      <c r="BB59" s="57">
        <f t="shared" ca="1" si="31"/>
        <v>2</v>
      </c>
      <c r="BC59" s="59" t="str">
        <f t="shared" ca="1" si="32"/>
        <v>=50</v>
      </c>
      <c r="BD59" t="str">
        <f t="shared" ca="1" si="10"/>
        <v>Venezuela</v>
      </c>
      <c r="BE59" s="60">
        <f t="shared" ca="1" si="11"/>
        <v>25</v>
      </c>
      <c r="BG59">
        <f t="shared" ca="1" si="53"/>
        <v>37.200000000000003</v>
      </c>
      <c r="BH59" s="56">
        <f ca="1">IF($G59=0,"",RANK(BG59,BG$7:BG$69)+COUNTIF(BG$7:BG59,BG59)-1)</f>
        <v>37</v>
      </c>
      <c r="BI59" s="57">
        <f t="shared" ca="1" si="33"/>
        <v>15</v>
      </c>
      <c r="BJ59" s="57">
        <f t="shared" ca="1" si="34"/>
        <v>53</v>
      </c>
      <c r="BK59" s="57">
        <f t="shared" ca="1" si="35"/>
        <v>2</v>
      </c>
      <c r="BL59" s="59">
        <f t="shared" ca="1" si="36"/>
        <v>53</v>
      </c>
      <c r="BM59" t="str">
        <f t="shared" ca="1" si="12"/>
        <v>DRC</v>
      </c>
      <c r="BN59" s="60">
        <f t="shared" ca="1" si="13"/>
        <v>25.8</v>
      </c>
      <c r="BP59">
        <f t="shared" ca="1" si="54"/>
        <v>16.7</v>
      </c>
      <c r="BQ59" s="56">
        <f ca="1">IF($G59=0,"",RANK(BP59,BP$7:BP$69)+COUNTIF(BP$7:BP59,BP59)-1)</f>
        <v>51</v>
      </c>
      <c r="BR59" s="57">
        <f t="shared" ca="1" si="37"/>
        <v>32</v>
      </c>
      <c r="BS59" s="57">
        <f t="shared" ca="1" si="38"/>
        <v>52</v>
      </c>
      <c r="BT59" s="57">
        <f t="shared" ca="1" si="39"/>
        <v>2</v>
      </c>
      <c r="BU59" s="59" t="str">
        <f t="shared" ca="1" si="40"/>
        <v>=52</v>
      </c>
      <c r="BV59" t="str">
        <f t="shared" ca="1" si="14"/>
        <v>Mongolia</v>
      </c>
      <c r="BW59" s="60">
        <f t="shared" ca="1" si="15"/>
        <v>8.3000000000000007</v>
      </c>
      <c r="BY59">
        <f t="shared" ca="1" si="5"/>
        <v>24.1</v>
      </c>
      <c r="BZ59" s="56">
        <f ca="1">IF($G59=0,"",RANK(BY59,BY$7:BY$69)+COUNTIF(BY$7:BY59,BY59)-1)</f>
        <v>51</v>
      </c>
      <c r="CA59" s="57">
        <f t="shared" ca="1" si="41"/>
        <v>49</v>
      </c>
      <c r="CB59" s="57">
        <f t="shared" ca="1" si="42"/>
        <v>53</v>
      </c>
      <c r="CC59" s="57">
        <f t="shared" ca="1" si="43"/>
        <v>2</v>
      </c>
      <c r="CD59" s="59">
        <f t="shared" ca="1" si="44"/>
        <v>53</v>
      </c>
      <c r="CE59" t="str">
        <f t="shared" ca="1" si="16"/>
        <v>Trinidad and Tobago</v>
      </c>
      <c r="CF59" s="60">
        <f t="shared" ca="1" si="17"/>
        <v>22.9</v>
      </c>
    </row>
    <row r="60" spans="1:84">
      <c r="A60">
        <v>54</v>
      </c>
      <c r="B60">
        <f ca="1">tblCountries!A56</f>
        <v>54</v>
      </c>
      <c r="C60" t="str">
        <f ca="1">tblCountries!C56</f>
        <v>VN</v>
      </c>
      <c r="D60" t="str">
        <f ca="1">tblCountries!B56</f>
        <v>Vietnam</v>
      </c>
      <c r="E60">
        <f ca="1">tblCountries!H56</f>
        <v>2</v>
      </c>
      <c r="G60">
        <f ca="1">tblCountries!I56</f>
        <v>2</v>
      </c>
      <c r="H60">
        <f t="shared" ca="1" si="49"/>
        <v>21.6</v>
      </c>
      <c r="K60" s="56">
        <f ca="1">IF($G60=0,"",RANK(H60,H$7:H$69)+COUNTIF(H$7:H60,H60)-1)</f>
        <v>54</v>
      </c>
      <c r="L60" s="57">
        <f t="shared" ca="1" si="18"/>
        <v>54</v>
      </c>
      <c r="M60" s="57">
        <f t="shared" ca="1" si="19"/>
        <v>54</v>
      </c>
      <c r="N60" s="57">
        <f t="shared" ca="1" si="20"/>
        <v>2</v>
      </c>
      <c r="O60" s="59">
        <f t="shared" ca="1" si="21"/>
        <v>54</v>
      </c>
      <c r="P60" t="str">
        <f t="shared" ca="1" si="22"/>
        <v>Vietnam</v>
      </c>
      <c r="Q60" s="60">
        <f t="shared" ca="1" si="23"/>
        <v>21.6</v>
      </c>
      <c r="AF60">
        <f t="shared" ca="1" si="50"/>
        <v>21.6</v>
      </c>
      <c r="AG60" s="56">
        <f ca="1">IF($E60&lt;0,"",RANK(AF60,AF$7:AF$61)+COUNTIF(AF$7:AF60,AF60)-1)</f>
        <v>54</v>
      </c>
      <c r="AH60" s="57">
        <f t="shared" ca="1" si="7"/>
        <v>54</v>
      </c>
      <c r="AI60" s="57">
        <f t="shared" ca="1" si="24"/>
        <v>54</v>
      </c>
      <c r="AJ60" s="57">
        <f t="shared" ca="1" si="45"/>
        <v>2</v>
      </c>
      <c r="AK60" s="59">
        <f t="shared" ca="1" si="46"/>
        <v>54</v>
      </c>
      <c r="AL60" t="str">
        <f t="shared" ca="1" si="47"/>
        <v>Vietnam</v>
      </c>
      <c r="AM60" s="60">
        <f t="shared" ca="1" si="48"/>
        <v>21.6</v>
      </c>
      <c r="AO60">
        <f t="shared" ca="1" si="51"/>
        <v>21.6</v>
      </c>
      <c r="AP60" s="56">
        <f ca="1">IF($G60=0,"",RANK(AO60,AO$7:AO$69)+COUNTIF(AO$7:AO60,AO60)-1)</f>
        <v>54</v>
      </c>
      <c r="AQ60" s="57">
        <f t="shared" ca="1" si="25"/>
        <v>54</v>
      </c>
      <c r="AR60" s="57">
        <f t="shared" ca="1" si="26"/>
        <v>54</v>
      </c>
      <c r="AS60" s="57">
        <f t="shared" ca="1" si="27"/>
        <v>2</v>
      </c>
      <c r="AT60" s="59">
        <f t="shared" ca="1" si="28"/>
        <v>54</v>
      </c>
      <c r="AU60" t="str">
        <f t="shared" ca="1" si="8"/>
        <v>Vietnam</v>
      </c>
      <c r="AV60" s="60">
        <f t="shared" ca="1" si="9"/>
        <v>21.6</v>
      </c>
      <c r="AX60">
        <f t="shared" ca="1" si="52"/>
        <v>31.3</v>
      </c>
      <c r="AY60" s="56">
        <f ca="1">IF($G60=0,"",RANK(AX60,AX$7:AX$69)+COUNTIF(AX$7:AX60,AX60)-1)</f>
        <v>49</v>
      </c>
      <c r="AZ60" s="57">
        <f t="shared" ca="1" si="29"/>
        <v>48</v>
      </c>
      <c r="BA60" s="57">
        <f t="shared" ca="1" si="30"/>
        <v>54</v>
      </c>
      <c r="BB60" s="57">
        <f t="shared" ca="1" si="31"/>
        <v>2</v>
      </c>
      <c r="BC60" s="59" t="str">
        <f t="shared" ca="1" si="32"/>
        <v>=54</v>
      </c>
      <c r="BD60" t="str">
        <f t="shared" ca="1" si="10"/>
        <v>Thailand</v>
      </c>
      <c r="BE60" s="60">
        <f t="shared" ca="1" si="11"/>
        <v>12.5</v>
      </c>
      <c r="BG60">
        <f t="shared" ca="1" si="53"/>
        <v>28.6</v>
      </c>
      <c r="BH60" s="56">
        <f ca="1">IF($G60=0,"",RANK(BG60,BG$7:BG$69)+COUNTIF(BG$7:BG60,BG60)-1)</f>
        <v>50</v>
      </c>
      <c r="BI60" s="57">
        <f t="shared" ca="1" si="33"/>
        <v>9</v>
      </c>
      <c r="BJ60" s="57">
        <f t="shared" ca="1" si="34"/>
        <v>54</v>
      </c>
      <c r="BK60" s="57">
        <f t="shared" ca="1" si="35"/>
        <v>2</v>
      </c>
      <c r="BL60" s="59">
        <f t="shared" ca="1" si="36"/>
        <v>54</v>
      </c>
      <c r="BM60" t="str">
        <f t="shared" ca="1" si="12"/>
        <v>Cameroon</v>
      </c>
      <c r="BN60" s="60">
        <f t="shared" ca="1" si="13"/>
        <v>24.7</v>
      </c>
      <c r="BP60">
        <f t="shared" ca="1" si="54"/>
        <v>8.3000000000000007</v>
      </c>
      <c r="BQ60" s="56">
        <f ca="1">IF($G60=0,"",RANK(BP60,BP$7:BP$69)+COUNTIF(BP$7:BP60,BP60)-1)</f>
        <v>55</v>
      </c>
      <c r="BR60" s="57">
        <f t="shared" ca="1" si="37"/>
        <v>33</v>
      </c>
      <c r="BS60" s="57">
        <f t="shared" ca="1" si="38"/>
        <v>52</v>
      </c>
      <c r="BT60" s="57">
        <f t="shared" ca="1" si="39"/>
        <v>2</v>
      </c>
      <c r="BU60" s="59" t="str">
        <f t="shared" ca="1" si="40"/>
        <v>=52</v>
      </c>
      <c r="BV60" t="str">
        <f t="shared" ca="1" si="14"/>
        <v>Morocco</v>
      </c>
      <c r="BW60" s="60">
        <f t="shared" ca="1" si="15"/>
        <v>8.3000000000000007</v>
      </c>
      <c r="BY60">
        <f t="shared" ca="1" si="5"/>
        <v>21.6</v>
      </c>
      <c r="BZ60" s="56">
        <f ca="1">IF($G60=0,"",RANK(BY60,BY$7:BY$69)+COUNTIF(BY$7:BY60,BY60)-1)</f>
        <v>54</v>
      </c>
      <c r="CA60" s="57">
        <f t="shared" ca="1" si="41"/>
        <v>54</v>
      </c>
      <c r="CB60" s="57">
        <f t="shared" ca="1" si="42"/>
        <v>54</v>
      </c>
      <c r="CC60" s="57">
        <f t="shared" ca="1" si="43"/>
        <v>2</v>
      </c>
      <c r="CD60" s="59">
        <f t="shared" ca="1" si="44"/>
        <v>54</v>
      </c>
      <c r="CE60" t="str">
        <f t="shared" ca="1" si="16"/>
        <v>Vietnam</v>
      </c>
      <c r="CF60" s="60">
        <f t="shared" ca="1" si="17"/>
        <v>21.6</v>
      </c>
    </row>
    <row r="61" spans="1:84">
      <c r="A61">
        <v>55</v>
      </c>
      <c r="B61">
        <f ca="1">tblCountries!A57</f>
        <v>55</v>
      </c>
      <c r="C61" t="str">
        <f ca="1">tblCountries!C57</f>
        <v>YE</v>
      </c>
      <c r="D61" t="str">
        <f ca="1">tblCountries!B57</f>
        <v>Yemen</v>
      </c>
      <c r="E61">
        <f ca="1">tblCountries!H57</f>
        <v>2</v>
      </c>
      <c r="G61">
        <f ca="1">tblCountries!I57</f>
        <v>2</v>
      </c>
      <c r="H61">
        <f t="shared" ca="1" si="49"/>
        <v>42.1</v>
      </c>
      <c r="K61" s="56">
        <f ca="1">IF($G61=0,"",RANK(H61,H$7:H$69)+COUNTIF(H$7:H61,H61)-1)</f>
        <v>29</v>
      </c>
      <c r="L61" s="57">
        <f t="shared" ca="1" si="18"/>
        <v>48</v>
      </c>
      <c r="M61" s="57">
        <f t="shared" ca="1" si="19"/>
        <v>55</v>
      </c>
      <c r="N61" s="57">
        <f t="shared" ca="1" si="20"/>
        <v>2</v>
      </c>
      <c r="O61" s="59">
        <f t="shared" ca="1" si="21"/>
        <v>55</v>
      </c>
      <c r="P61" t="str">
        <f t="shared" ca="1" si="22"/>
        <v>Thailand</v>
      </c>
      <c r="Q61" s="60">
        <f t="shared" ca="1" si="23"/>
        <v>21.2</v>
      </c>
      <c r="AF61">
        <f t="shared" ca="1" si="50"/>
        <v>42.1</v>
      </c>
      <c r="AG61" s="56">
        <f ca="1">IF($E61&lt;0,"",RANK(AF61,AF$7:AF$61)+COUNTIF(AF$7:AF61,AF61)-1)</f>
        <v>29</v>
      </c>
      <c r="AH61" s="57">
        <f t="shared" ca="1" si="7"/>
        <v>48</v>
      </c>
      <c r="AI61" s="57">
        <f t="shared" ca="1" si="24"/>
        <v>55</v>
      </c>
      <c r="AJ61" s="57">
        <f t="shared" ca="1" si="45"/>
        <v>2</v>
      </c>
      <c r="AK61" s="59">
        <f t="shared" ca="1" si="46"/>
        <v>55</v>
      </c>
      <c r="AL61" t="str">
        <f t="shared" ca="1" si="47"/>
        <v>Thailand</v>
      </c>
      <c r="AM61" s="60">
        <f t="shared" ca="1" si="48"/>
        <v>21.2</v>
      </c>
      <c r="AO61">
        <f t="shared" ca="1" si="51"/>
        <v>42.1</v>
      </c>
      <c r="AP61" s="56">
        <f ca="1">IF($G61=0,"",RANK(AO61,AO$7:AO$69)+COUNTIF(AO$7:AO61,AO61)-1)</f>
        <v>29</v>
      </c>
      <c r="AQ61" s="57">
        <f t="shared" ca="1" si="25"/>
        <v>48</v>
      </c>
      <c r="AR61" s="57">
        <f t="shared" ca="1" si="26"/>
        <v>55</v>
      </c>
      <c r="AS61" s="57">
        <f t="shared" ca="1" si="27"/>
        <v>2</v>
      </c>
      <c r="AT61" s="59">
        <f t="shared" ca="1" si="28"/>
        <v>55</v>
      </c>
      <c r="AU61" t="str">
        <f t="shared" ca="1" si="8"/>
        <v>Thailand</v>
      </c>
      <c r="AV61" s="60">
        <f t="shared" ca="1" si="9"/>
        <v>21.2</v>
      </c>
      <c r="AX61">
        <f t="shared" ca="1" si="52"/>
        <v>62.5</v>
      </c>
      <c r="AY61" s="56">
        <f ca="1">IF($G61=0,"",RANK(AX61,AX$7:AX$69)+COUNTIF(AX$7:AX61,AX61)-1)</f>
        <v>18</v>
      </c>
      <c r="AZ61" s="57">
        <f t="shared" ca="1" si="29"/>
        <v>49</v>
      </c>
      <c r="BA61" s="57">
        <f t="shared" ca="1" si="30"/>
        <v>54</v>
      </c>
      <c r="BB61" s="57">
        <f t="shared" ca="1" si="31"/>
        <v>2</v>
      </c>
      <c r="BC61" s="59" t="str">
        <f t="shared" ca="1" si="32"/>
        <v>=54</v>
      </c>
      <c r="BD61" t="str">
        <f t="shared" ca="1" si="10"/>
        <v>Trinidad and Tobago</v>
      </c>
      <c r="BE61" s="60">
        <f t="shared" ca="1" si="11"/>
        <v>12.5</v>
      </c>
      <c r="BG61">
        <f t="shared" ca="1" si="53"/>
        <v>35.6</v>
      </c>
      <c r="BH61" s="56">
        <f ca="1">IF($G61=0,"",RANK(BG61,BG$7:BG$69)+COUNTIF(BG$7:BG61,BG61)-1)</f>
        <v>39</v>
      </c>
      <c r="BI61" s="57">
        <f t="shared" ca="1" si="33"/>
        <v>35</v>
      </c>
      <c r="BJ61" s="57">
        <f t="shared" ca="1" si="34"/>
        <v>55</v>
      </c>
      <c r="BK61" s="57">
        <f t="shared" ca="1" si="35"/>
        <v>2</v>
      </c>
      <c r="BL61" s="59">
        <f t="shared" ca="1" si="36"/>
        <v>55</v>
      </c>
      <c r="BM61" t="str">
        <f t="shared" ca="1" si="12"/>
        <v>Nepal</v>
      </c>
      <c r="BN61" s="60">
        <f t="shared" ca="1" si="13"/>
        <v>20.8</v>
      </c>
      <c r="BP61">
        <f t="shared" ca="1" si="54"/>
        <v>25</v>
      </c>
      <c r="BQ61" s="56">
        <f ca="1">IF($G61=0,"",RANK(BP61,BP$7:BP$69)+COUNTIF(BP$7:BP61,BP61)-1)</f>
        <v>39</v>
      </c>
      <c r="BR61" s="57">
        <f t="shared" ca="1" si="37"/>
        <v>54</v>
      </c>
      <c r="BS61" s="57">
        <f t="shared" ca="1" si="38"/>
        <v>52</v>
      </c>
      <c r="BT61" s="57">
        <f t="shared" ca="1" si="39"/>
        <v>2</v>
      </c>
      <c r="BU61" s="59" t="str">
        <f t="shared" ca="1" si="40"/>
        <v>=52</v>
      </c>
      <c r="BV61" t="str">
        <f t="shared" ca="1" si="14"/>
        <v>Vietnam</v>
      </c>
      <c r="BW61" s="60">
        <f t="shared" ca="1" si="15"/>
        <v>8.3000000000000007</v>
      </c>
      <c r="BY61">
        <f t="shared" ca="1" si="5"/>
        <v>42.1</v>
      </c>
      <c r="BZ61" s="56">
        <f ca="1">IF($G61=0,"",RANK(BY61,BY$7:BY$69)+COUNTIF(BY$7:BY61,BY61)-1)</f>
        <v>29</v>
      </c>
      <c r="CA61" s="57">
        <f t="shared" ca="1" si="41"/>
        <v>48</v>
      </c>
      <c r="CB61" s="57">
        <f t="shared" ca="1" si="42"/>
        <v>55</v>
      </c>
      <c r="CC61" s="57">
        <f t="shared" ca="1" si="43"/>
        <v>2</v>
      </c>
      <c r="CD61" s="59">
        <f t="shared" ca="1" si="44"/>
        <v>55</v>
      </c>
      <c r="CE61" t="str">
        <f t="shared" ca="1" si="16"/>
        <v>Thailand</v>
      </c>
      <c r="CF61" s="60">
        <f t="shared" ca="1" si="17"/>
        <v>21.2</v>
      </c>
    </row>
    <row r="62" spans="1:84" s="18" customFormat="1">
      <c r="A62" s="18">
        <v>56</v>
      </c>
      <c r="B62" s="18">
        <f ca="1">tblCountries!A58</f>
        <v>56</v>
      </c>
      <c r="C62" s="18" t="str">
        <f ca="1">tblCountries!C58</f>
        <v>X1</v>
      </c>
      <c r="D62" s="18" t="str">
        <f ca="1">tblCountries!B58</f>
        <v>ALL COUNTRIES</v>
      </c>
      <c r="E62" s="18">
        <f ca="1">tblCountries!H58</f>
        <v>0</v>
      </c>
      <c r="G62" s="18">
        <f ca="1">tblCountries!I58</f>
        <v>0</v>
      </c>
      <c r="H62" s="18" t="str">
        <f t="shared" ca="1" si="49"/>
        <v/>
      </c>
      <c r="K62" s="80" t="str">
        <f>IF($G62=0,"",RANK(H62,H$7:H$69)+COUNTIF(H$7:H62,H62)-1)</f>
        <v/>
      </c>
      <c r="L62" s="81" t="e">
        <f t="shared" ca="1" si="18"/>
        <v>#N/A</v>
      </c>
      <c r="M62" s="81" t="str">
        <f t="shared" ca="1" si="19"/>
        <v/>
      </c>
      <c r="N62" s="81">
        <f t="shared" ca="1" si="20"/>
        <v>0</v>
      </c>
      <c r="O62" s="82" t="str">
        <f t="shared" ca="1" si="21"/>
        <v/>
      </c>
      <c r="P62" s="18" t="str">
        <f t="shared" ca="1" si="22"/>
        <v/>
      </c>
      <c r="Q62" s="83" t="str">
        <f t="shared" ca="1" si="23"/>
        <v/>
      </c>
      <c r="AO62" t="str">
        <f t="shared" ca="1" si="51"/>
        <v/>
      </c>
      <c r="AP62" s="56" t="str">
        <f>IF($G62=0,"",RANK(AO62,AO$7:AO$69)+COUNTIF(AO$7:AO62,AO62)-1)</f>
        <v/>
      </c>
      <c r="AQ62" s="57" t="e">
        <f t="shared" ca="1" si="25"/>
        <v>#N/A</v>
      </c>
      <c r="AR62" s="57" t="str">
        <f t="shared" ca="1" si="26"/>
        <v/>
      </c>
      <c r="AS62" s="57">
        <f t="shared" ca="1" si="27"/>
        <v>0</v>
      </c>
      <c r="AT62" s="59" t="str">
        <f t="shared" ca="1" si="28"/>
        <v/>
      </c>
      <c r="AU62" t="str">
        <f t="shared" ca="1" si="8"/>
        <v/>
      </c>
      <c r="AV62" s="60" t="str">
        <f t="shared" ca="1" si="9"/>
        <v/>
      </c>
      <c r="AX62" t="str">
        <f t="shared" ca="1" si="52"/>
        <v/>
      </c>
      <c r="AY62" s="56" t="str">
        <f>IF($G62=0,"",RANK(AX62,AX$7:AX$69)+COUNTIF(AX$7:AX62,AX62)-1)</f>
        <v/>
      </c>
      <c r="AZ62" s="57" t="e">
        <f t="shared" ca="1" si="29"/>
        <v>#N/A</v>
      </c>
      <c r="BA62" s="57" t="str">
        <f t="shared" ca="1" si="30"/>
        <v/>
      </c>
      <c r="BB62" s="57">
        <f t="shared" ca="1" si="31"/>
        <v>0</v>
      </c>
      <c r="BC62" s="59" t="str">
        <f t="shared" ca="1" si="32"/>
        <v/>
      </c>
      <c r="BD62" t="str">
        <f t="shared" ca="1" si="10"/>
        <v/>
      </c>
      <c r="BE62" s="60" t="str">
        <f t="shared" ca="1" si="11"/>
        <v/>
      </c>
      <c r="BG62" t="str">
        <f t="shared" ca="1" si="53"/>
        <v/>
      </c>
      <c r="BH62" s="56" t="str">
        <f>IF($G62=0,"",RANK(BG62,BG$7:BG$69)+COUNTIF(BG$7:BG62,BG62)-1)</f>
        <v/>
      </c>
      <c r="BI62" s="57" t="e">
        <f t="shared" ca="1" si="33"/>
        <v>#N/A</v>
      </c>
      <c r="BJ62" s="57" t="str">
        <f t="shared" ca="1" si="34"/>
        <v/>
      </c>
      <c r="BK62" s="57">
        <f t="shared" ca="1" si="35"/>
        <v>0</v>
      </c>
      <c r="BL62" s="59" t="str">
        <f t="shared" ca="1" si="36"/>
        <v/>
      </c>
      <c r="BM62" t="str">
        <f t="shared" ca="1" si="12"/>
        <v/>
      </c>
      <c r="BN62" s="60" t="str">
        <f t="shared" ca="1" si="13"/>
        <v/>
      </c>
      <c r="BP62" t="str">
        <f t="shared" ca="1" si="54"/>
        <v/>
      </c>
      <c r="BQ62" s="56" t="str">
        <f>IF($G62=0,"",RANK(BP62,BP$7:BP$69)+COUNTIF(BP$7:BP62,BP62)-1)</f>
        <v/>
      </c>
      <c r="BR62" s="57" t="e">
        <f t="shared" ca="1" si="37"/>
        <v>#N/A</v>
      </c>
      <c r="BS62" s="57" t="str">
        <f t="shared" ca="1" si="38"/>
        <v/>
      </c>
      <c r="BT62" s="57">
        <f t="shared" ca="1" si="39"/>
        <v>0</v>
      </c>
      <c r="BU62" s="59" t="str">
        <f t="shared" ca="1" si="40"/>
        <v/>
      </c>
      <c r="BV62" t="str">
        <f t="shared" ca="1" si="14"/>
        <v/>
      </c>
      <c r="BW62" s="60" t="str">
        <f t="shared" ca="1" si="15"/>
        <v/>
      </c>
      <c r="BY62" t="str">
        <f t="shared" ca="1" si="5"/>
        <v/>
      </c>
      <c r="BZ62" s="56" t="str">
        <f>IF($G62=0,"",RANK(BY62,BY$7:BY$69)+COUNTIF(BY$7:BY62,BY62)-1)</f>
        <v/>
      </c>
      <c r="CA62" s="57" t="e">
        <f t="shared" ca="1" si="41"/>
        <v>#N/A</v>
      </c>
      <c r="CB62" s="57" t="str">
        <f t="shared" ca="1" si="42"/>
        <v/>
      </c>
      <c r="CC62" s="57">
        <f t="shared" ca="1" si="43"/>
        <v>0</v>
      </c>
      <c r="CD62" s="59" t="str">
        <f t="shared" ca="1" si="44"/>
        <v/>
      </c>
      <c r="CE62" t="str">
        <f t="shared" ca="1" si="16"/>
        <v/>
      </c>
      <c r="CF62" s="60" t="str">
        <f t="shared" ca="1" si="17"/>
        <v/>
      </c>
    </row>
    <row r="63" spans="1:84">
      <c r="A63">
        <v>57</v>
      </c>
      <c r="B63">
        <f ca="1">tblCountries!A59</f>
        <v>57</v>
      </c>
      <c r="C63" t="str">
        <f ca="1">tblCountries!C59</f>
        <v>X2</v>
      </c>
      <c r="D63" t="str">
        <f ca="1">tblCountries!B59</f>
        <v>EASTERN EUROPE/CENTRAL ASIA</v>
      </c>
      <c r="E63">
        <f ca="1">tblCountries!H59</f>
        <v>0</v>
      </c>
      <c r="G63">
        <f ca="1">tblCountries!I59</f>
        <v>0</v>
      </c>
      <c r="H63" t="str">
        <f t="shared" ca="1" si="49"/>
        <v/>
      </c>
      <c r="K63" s="56" t="str">
        <f>IF($G63=0,"",RANK(H63,H$7:H$69)+COUNTIF(H$7:H63,H63)-1)</f>
        <v/>
      </c>
      <c r="L63" s="57" t="e">
        <f t="shared" ca="1" si="18"/>
        <v>#N/A</v>
      </c>
      <c r="M63" s="57" t="str">
        <f t="shared" ca="1" si="19"/>
        <v/>
      </c>
      <c r="N63" s="57">
        <f t="shared" ca="1" si="20"/>
        <v>0</v>
      </c>
      <c r="O63" s="59" t="str">
        <f t="shared" ca="1" si="21"/>
        <v/>
      </c>
      <c r="P63" t="str">
        <f t="shared" ca="1" si="22"/>
        <v/>
      </c>
      <c r="Q63" s="60" t="str">
        <f t="shared" ca="1" si="23"/>
        <v/>
      </c>
      <c r="AO63" t="str">
        <f t="shared" ca="1" si="51"/>
        <v/>
      </c>
      <c r="AP63" s="56" t="str">
        <f>IF($G63=0,"",RANK(AO63,AO$7:AO$69)+COUNTIF(AO$7:AO63,AO63)-1)</f>
        <v/>
      </c>
      <c r="AQ63" s="57" t="e">
        <f t="shared" ca="1" si="25"/>
        <v>#N/A</v>
      </c>
      <c r="AR63" s="57" t="str">
        <f t="shared" ca="1" si="26"/>
        <v/>
      </c>
      <c r="AS63" s="57">
        <f t="shared" ca="1" si="27"/>
        <v>0</v>
      </c>
      <c r="AT63" s="59" t="str">
        <f t="shared" ca="1" si="28"/>
        <v/>
      </c>
      <c r="AU63" t="str">
        <f t="shared" ca="1" si="8"/>
        <v/>
      </c>
      <c r="AV63" s="60" t="str">
        <f t="shared" ca="1" si="9"/>
        <v/>
      </c>
      <c r="AX63" t="str">
        <f t="shared" ca="1" si="52"/>
        <v/>
      </c>
      <c r="AY63" s="56" t="str">
        <f>IF($G63=0,"",RANK(AX63,AX$7:AX$69)+COUNTIF(AX$7:AX63,AX63)-1)</f>
        <v/>
      </c>
      <c r="AZ63" s="57" t="e">
        <f t="shared" ca="1" si="29"/>
        <v>#N/A</v>
      </c>
      <c r="BA63" s="57" t="str">
        <f t="shared" ca="1" si="30"/>
        <v/>
      </c>
      <c r="BB63" s="57">
        <f t="shared" ca="1" si="31"/>
        <v>0</v>
      </c>
      <c r="BC63" s="59" t="str">
        <f t="shared" ca="1" si="32"/>
        <v/>
      </c>
      <c r="BD63" t="str">
        <f t="shared" ca="1" si="10"/>
        <v/>
      </c>
      <c r="BE63" s="60" t="str">
        <f t="shared" ca="1" si="11"/>
        <v/>
      </c>
      <c r="BG63" t="str">
        <f t="shared" ca="1" si="53"/>
        <v/>
      </c>
      <c r="BH63" s="56" t="str">
        <f>IF($G63=0,"",RANK(BG63,BG$7:BG$69)+COUNTIF(BG$7:BG63,BG63)-1)</f>
        <v/>
      </c>
      <c r="BI63" s="57" t="e">
        <f t="shared" ca="1" si="33"/>
        <v>#N/A</v>
      </c>
      <c r="BJ63" s="57" t="str">
        <f t="shared" ca="1" si="34"/>
        <v/>
      </c>
      <c r="BK63" s="57">
        <f t="shared" ca="1" si="35"/>
        <v>0</v>
      </c>
      <c r="BL63" s="59" t="str">
        <f t="shared" ca="1" si="36"/>
        <v/>
      </c>
      <c r="BM63" t="str">
        <f t="shared" ca="1" si="12"/>
        <v/>
      </c>
      <c r="BN63" s="60" t="str">
        <f t="shared" ca="1" si="13"/>
        <v/>
      </c>
      <c r="BP63" t="str">
        <f t="shared" ca="1" si="54"/>
        <v/>
      </c>
      <c r="BQ63" s="56" t="str">
        <f>IF($G63=0,"",RANK(BP63,BP$7:BP$69)+COUNTIF(BP$7:BP63,BP63)-1)</f>
        <v/>
      </c>
      <c r="BR63" s="57" t="e">
        <f t="shared" ca="1" si="37"/>
        <v>#N/A</v>
      </c>
      <c r="BS63" s="57" t="str">
        <f t="shared" ca="1" si="38"/>
        <v/>
      </c>
      <c r="BT63" s="57">
        <f t="shared" ca="1" si="39"/>
        <v>0</v>
      </c>
      <c r="BU63" s="59" t="str">
        <f t="shared" ca="1" si="40"/>
        <v/>
      </c>
      <c r="BV63" t="str">
        <f t="shared" ca="1" si="14"/>
        <v/>
      </c>
      <c r="BW63" s="60" t="str">
        <f t="shared" ca="1" si="15"/>
        <v/>
      </c>
      <c r="BY63" t="str">
        <f t="shared" ca="1" si="5"/>
        <v/>
      </c>
      <c r="BZ63" s="56" t="str">
        <f>IF($G63=0,"",RANK(BY63,BY$7:BY$69)+COUNTIF(BY$7:BY63,BY63)-1)</f>
        <v/>
      </c>
      <c r="CA63" s="57" t="e">
        <f t="shared" ca="1" si="41"/>
        <v>#N/A</v>
      </c>
      <c r="CB63" s="57" t="str">
        <f t="shared" ca="1" si="42"/>
        <v/>
      </c>
      <c r="CC63" s="57">
        <f t="shared" ca="1" si="43"/>
        <v>0</v>
      </c>
      <c r="CD63" s="59" t="str">
        <f t="shared" ca="1" si="44"/>
        <v/>
      </c>
      <c r="CE63" t="str">
        <f t="shared" ca="1" si="16"/>
        <v/>
      </c>
      <c r="CF63" s="60" t="str">
        <f t="shared" ca="1" si="17"/>
        <v/>
      </c>
    </row>
    <row r="64" spans="1:84">
      <c r="A64">
        <v>58</v>
      </c>
      <c r="B64">
        <f ca="1">tblCountries!A60</f>
        <v>58</v>
      </c>
      <c r="C64" t="str">
        <f ca="1">tblCountries!C60</f>
        <v>X3</v>
      </c>
      <c r="D64" t="str">
        <f ca="1">tblCountries!B60</f>
        <v>MIDDLE EAST/NORTH AFRICA</v>
      </c>
      <c r="E64">
        <f ca="1">tblCountries!H60</f>
        <v>0</v>
      </c>
      <c r="G64">
        <f ca="1">tblCountries!I60</f>
        <v>0</v>
      </c>
      <c r="H64" t="str">
        <f t="shared" ca="1" si="49"/>
        <v/>
      </c>
      <c r="K64" s="56" t="str">
        <f>IF($G64=0,"",RANK(H64,H$7:H$69)+COUNTIF(H$7:H64,H64)-1)</f>
        <v/>
      </c>
      <c r="L64" s="57" t="e">
        <f t="shared" ca="1" si="18"/>
        <v>#N/A</v>
      </c>
      <c r="M64" s="57" t="str">
        <f t="shared" ca="1" si="19"/>
        <v/>
      </c>
      <c r="N64" s="57">
        <f t="shared" ca="1" si="20"/>
        <v>0</v>
      </c>
      <c r="O64" s="59" t="str">
        <f t="shared" ca="1" si="21"/>
        <v/>
      </c>
      <c r="P64" t="str">
        <f t="shared" ca="1" si="22"/>
        <v/>
      </c>
      <c r="Q64" s="60" t="str">
        <f t="shared" ca="1" si="23"/>
        <v/>
      </c>
      <c r="AO64" t="str">
        <f t="shared" ca="1" si="51"/>
        <v/>
      </c>
      <c r="AP64" s="56" t="str">
        <f>IF($G64=0,"",RANK(AO64,AO$7:AO$69)+COUNTIF(AO$7:AO64,AO64)-1)</f>
        <v/>
      </c>
      <c r="AQ64" s="57" t="e">
        <f t="shared" ca="1" si="25"/>
        <v>#N/A</v>
      </c>
      <c r="AR64" s="57" t="str">
        <f t="shared" ca="1" si="26"/>
        <v/>
      </c>
      <c r="AS64" s="57">
        <f t="shared" ca="1" si="27"/>
        <v>0</v>
      </c>
      <c r="AT64" s="59" t="str">
        <f t="shared" ca="1" si="28"/>
        <v/>
      </c>
      <c r="AU64" t="str">
        <f t="shared" ca="1" si="8"/>
        <v/>
      </c>
      <c r="AV64" s="60" t="str">
        <f t="shared" ca="1" si="9"/>
        <v/>
      </c>
      <c r="AX64" t="str">
        <f t="shared" ca="1" si="52"/>
        <v/>
      </c>
      <c r="AY64" s="56" t="str">
        <f>IF($G64=0,"",RANK(AX64,AX$7:AX$69)+COUNTIF(AX$7:AX64,AX64)-1)</f>
        <v/>
      </c>
      <c r="AZ64" s="57" t="e">
        <f t="shared" ca="1" si="29"/>
        <v>#N/A</v>
      </c>
      <c r="BA64" s="57" t="str">
        <f t="shared" ca="1" si="30"/>
        <v/>
      </c>
      <c r="BB64" s="57">
        <f t="shared" ca="1" si="31"/>
        <v>0</v>
      </c>
      <c r="BC64" s="59" t="str">
        <f t="shared" ca="1" si="32"/>
        <v/>
      </c>
      <c r="BD64" t="str">
        <f t="shared" ca="1" si="10"/>
        <v/>
      </c>
      <c r="BE64" s="60" t="str">
        <f t="shared" ca="1" si="11"/>
        <v/>
      </c>
      <c r="BG64" t="str">
        <f t="shared" ca="1" si="53"/>
        <v/>
      </c>
      <c r="BH64" s="56" t="str">
        <f>IF($G64=0,"",RANK(BG64,BG$7:BG$69)+COUNTIF(BG$7:BG64,BG64)-1)</f>
        <v/>
      </c>
      <c r="BI64" s="57" t="e">
        <f t="shared" ca="1" si="33"/>
        <v>#N/A</v>
      </c>
      <c r="BJ64" s="57" t="str">
        <f t="shared" ca="1" si="34"/>
        <v/>
      </c>
      <c r="BK64" s="57">
        <f t="shared" ca="1" si="35"/>
        <v>0</v>
      </c>
      <c r="BL64" s="59" t="str">
        <f t="shared" ca="1" si="36"/>
        <v/>
      </c>
      <c r="BM64" t="str">
        <f t="shared" ca="1" si="12"/>
        <v/>
      </c>
      <c r="BN64" s="60" t="str">
        <f t="shared" ca="1" si="13"/>
        <v/>
      </c>
      <c r="BP64" t="str">
        <f t="shared" ca="1" si="54"/>
        <v/>
      </c>
      <c r="BQ64" s="56" t="str">
        <f>IF($G64=0,"",RANK(BP64,BP$7:BP$69)+COUNTIF(BP$7:BP64,BP64)-1)</f>
        <v/>
      </c>
      <c r="BR64" s="57" t="e">
        <f t="shared" ca="1" si="37"/>
        <v>#N/A</v>
      </c>
      <c r="BS64" s="57" t="str">
        <f t="shared" ca="1" si="38"/>
        <v/>
      </c>
      <c r="BT64" s="57">
        <f t="shared" ca="1" si="39"/>
        <v>0</v>
      </c>
      <c r="BU64" s="59" t="str">
        <f t="shared" ca="1" si="40"/>
        <v/>
      </c>
      <c r="BV64" t="str">
        <f t="shared" ca="1" si="14"/>
        <v/>
      </c>
      <c r="BW64" s="60" t="str">
        <f t="shared" ca="1" si="15"/>
        <v/>
      </c>
      <c r="BY64" t="str">
        <f t="shared" ca="1" si="5"/>
        <v/>
      </c>
      <c r="BZ64" s="56" t="str">
        <f>IF($G64=0,"",RANK(BY64,BY$7:BY$69)+COUNTIF(BY$7:BY64,BY64)-1)</f>
        <v/>
      </c>
      <c r="CA64" s="57" t="e">
        <f t="shared" ca="1" si="41"/>
        <v>#N/A</v>
      </c>
      <c r="CB64" s="57" t="str">
        <f t="shared" ca="1" si="42"/>
        <v/>
      </c>
      <c r="CC64" s="57">
        <f t="shared" ca="1" si="43"/>
        <v>0</v>
      </c>
      <c r="CD64" s="59" t="str">
        <f t="shared" ca="1" si="44"/>
        <v/>
      </c>
      <c r="CE64" t="str">
        <f t="shared" ca="1" si="16"/>
        <v/>
      </c>
      <c r="CF64" s="60" t="str">
        <f t="shared" ca="1" si="17"/>
        <v/>
      </c>
    </row>
    <row r="65" spans="1:84">
      <c r="A65">
        <v>59</v>
      </c>
      <c r="B65">
        <f ca="1">tblCountries!A61</f>
        <v>59</v>
      </c>
      <c r="C65" t="str">
        <f ca="1">tblCountries!C61</f>
        <v>X4</v>
      </c>
      <c r="D65" t="str">
        <f ca="1">tblCountries!B61</f>
        <v>SUB-SAHARAN AFRICA</v>
      </c>
      <c r="E65">
        <f ca="1">tblCountries!H61</f>
        <v>0</v>
      </c>
      <c r="G65">
        <f ca="1">tblCountries!I61</f>
        <v>0</v>
      </c>
      <c r="H65" t="str">
        <f t="shared" ca="1" si="49"/>
        <v/>
      </c>
      <c r="K65" s="56" t="str">
        <f>IF($G65=0,"",RANK(H65,H$7:H$69)+COUNTIF(H$7:H65,H65)-1)</f>
        <v/>
      </c>
      <c r="L65" s="57" t="e">
        <f t="shared" ca="1" si="18"/>
        <v>#N/A</v>
      </c>
      <c r="M65" s="57" t="str">
        <f t="shared" ca="1" si="19"/>
        <v/>
      </c>
      <c r="N65" s="57">
        <f t="shared" ca="1" si="20"/>
        <v>0</v>
      </c>
      <c r="O65" s="59" t="str">
        <f t="shared" ca="1" si="21"/>
        <v/>
      </c>
      <c r="P65" t="str">
        <f t="shared" ca="1" si="22"/>
        <v/>
      </c>
      <c r="Q65" s="60" t="str">
        <f t="shared" ca="1" si="23"/>
        <v/>
      </c>
      <c r="AO65" t="str">
        <f t="shared" ca="1" si="51"/>
        <v/>
      </c>
      <c r="AP65" s="56" t="str">
        <f>IF($G65=0,"",RANK(AO65,AO$7:AO$69)+COUNTIF(AO$7:AO65,AO65)-1)</f>
        <v/>
      </c>
      <c r="AQ65" s="57" t="e">
        <f t="shared" ca="1" si="25"/>
        <v>#N/A</v>
      </c>
      <c r="AR65" s="57" t="str">
        <f t="shared" ca="1" si="26"/>
        <v/>
      </c>
      <c r="AS65" s="57">
        <f t="shared" ca="1" si="27"/>
        <v>0</v>
      </c>
      <c r="AT65" s="59" t="str">
        <f t="shared" ca="1" si="28"/>
        <v/>
      </c>
      <c r="AU65" t="str">
        <f t="shared" ca="1" si="8"/>
        <v/>
      </c>
      <c r="AV65" s="60" t="str">
        <f t="shared" ca="1" si="9"/>
        <v/>
      </c>
      <c r="AX65" t="str">
        <f t="shared" ca="1" si="52"/>
        <v/>
      </c>
      <c r="AY65" s="56" t="str">
        <f>IF($G65=0,"",RANK(AX65,AX$7:AX$69)+COUNTIF(AX$7:AX65,AX65)-1)</f>
        <v/>
      </c>
      <c r="AZ65" s="57" t="e">
        <f t="shared" ca="1" si="29"/>
        <v>#N/A</v>
      </c>
      <c r="BA65" s="57" t="str">
        <f t="shared" ca="1" si="30"/>
        <v/>
      </c>
      <c r="BB65" s="57">
        <f t="shared" ca="1" si="31"/>
        <v>0</v>
      </c>
      <c r="BC65" s="59" t="str">
        <f t="shared" ca="1" si="32"/>
        <v/>
      </c>
      <c r="BD65" t="str">
        <f t="shared" ca="1" si="10"/>
        <v/>
      </c>
      <c r="BE65" s="60" t="str">
        <f t="shared" ca="1" si="11"/>
        <v/>
      </c>
      <c r="BG65" t="str">
        <f t="shared" ca="1" si="53"/>
        <v/>
      </c>
      <c r="BH65" s="56" t="str">
        <f>IF($G65=0,"",RANK(BG65,BG$7:BG$69)+COUNTIF(BG$7:BG65,BG65)-1)</f>
        <v/>
      </c>
      <c r="BI65" s="57" t="e">
        <f t="shared" ca="1" si="33"/>
        <v>#N/A</v>
      </c>
      <c r="BJ65" s="57" t="str">
        <f t="shared" ca="1" si="34"/>
        <v/>
      </c>
      <c r="BK65" s="57">
        <f t="shared" ca="1" si="35"/>
        <v>0</v>
      </c>
      <c r="BL65" s="59" t="str">
        <f t="shared" ca="1" si="36"/>
        <v/>
      </c>
      <c r="BM65" t="str">
        <f t="shared" ca="1" si="12"/>
        <v/>
      </c>
      <c r="BN65" s="60" t="str">
        <f t="shared" ca="1" si="13"/>
        <v/>
      </c>
      <c r="BP65" t="str">
        <f t="shared" ca="1" si="54"/>
        <v/>
      </c>
      <c r="BQ65" s="56" t="str">
        <f>IF($G65=0,"",RANK(BP65,BP$7:BP$69)+COUNTIF(BP$7:BP65,BP65)-1)</f>
        <v/>
      </c>
      <c r="BR65" s="57" t="e">
        <f t="shared" ca="1" si="37"/>
        <v>#N/A</v>
      </c>
      <c r="BS65" s="57" t="str">
        <f t="shared" ca="1" si="38"/>
        <v/>
      </c>
      <c r="BT65" s="57">
        <f t="shared" ca="1" si="39"/>
        <v>0</v>
      </c>
      <c r="BU65" s="59" t="str">
        <f t="shared" ca="1" si="40"/>
        <v/>
      </c>
      <c r="BV65" t="str">
        <f t="shared" ca="1" si="14"/>
        <v/>
      </c>
      <c r="BW65" s="60" t="str">
        <f t="shared" ca="1" si="15"/>
        <v/>
      </c>
      <c r="BY65" t="str">
        <f t="shared" ca="1" si="5"/>
        <v/>
      </c>
      <c r="BZ65" s="56" t="str">
        <f>IF($G65=0,"",RANK(BY65,BY$7:BY$69)+COUNTIF(BY$7:BY65,BY65)-1)</f>
        <v/>
      </c>
      <c r="CA65" s="57" t="e">
        <f t="shared" ca="1" si="41"/>
        <v>#N/A</v>
      </c>
      <c r="CB65" s="57" t="str">
        <f t="shared" ca="1" si="42"/>
        <v/>
      </c>
      <c r="CC65" s="57">
        <f t="shared" ca="1" si="43"/>
        <v>0</v>
      </c>
      <c r="CD65" s="59" t="str">
        <f t="shared" ca="1" si="44"/>
        <v/>
      </c>
      <c r="CE65" t="str">
        <f t="shared" ca="1" si="16"/>
        <v/>
      </c>
      <c r="CF65" s="60" t="str">
        <f t="shared" ca="1" si="17"/>
        <v/>
      </c>
    </row>
    <row r="66" spans="1:84">
      <c r="A66">
        <v>60</v>
      </c>
      <c r="B66">
        <f ca="1">tblCountries!A62</f>
        <v>60</v>
      </c>
      <c r="C66" t="str">
        <f ca="1">tblCountries!C62</f>
        <v>X5</v>
      </c>
      <c r="D66" t="str">
        <f ca="1">tblCountries!B62</f>
        <v>ALL ASIA</v>
      </c>
      <c r="E66">
        <f ca="1">tblCountries!H62</f>
        <v>0</v>
      </c>
      <c r="G66">
        <f ca="1">tblCountries!I62</f>
        <v>0</v>
      </c>
      <c r="H66" t="str">
        <f t="shared" ca="1" si="49"/>
        <v/>
      </c>
      <c r="K66" s="56" t="str">
        <f>IF($G66=0,"",RANK(H66,H$7:H$69)+COUNTIF(H$7:H66,H66)-1)</f>
        <v/>
      </c>
      <c r="L66" s="57" t="e">
        <f t="shared" ca="1" si="18"/>
        <v>#N/A</v>
      </c>
      <c r="M66" s="57" t="str">
        <f t="shared" ca="1" si="19"/>
        <v/>
      </c>
      <c r="N66" s="57">
        <f t="shared" ca="1" si="20"/>
        <v>0</v>
      </c>
      <c r="O66" s="59" t="str">
        <f ca="1">IF(N66=0,"",IF(OR(M66=M65,M66=M69),CONCATENATE("=",M66),M66))</f>
        <v/>
      </c>
      <c r="P66" t="str">
        <f t="shared" ca="1" si="22"/>
        <v/>
      </c>
      <c r="Q66" s="60" t="str">
        <f t="shared" ca="1" si="23"/>
        <v/>
      </c>
      <c r="AO66" t="str">
        <f t="shared" ca="1" si="51"/>
        <v/>
      </c>
      <c r="AP66" s="56" t="str">
        <f>IF($G66=0,"",RANK(AO66,AO$7:AO$69)+COUNTIF(AO$7:AO66,AO66)-1)</f>
        <v/>
      </c>
      <c r="AQ66" s="57" t="e">
        <f t="shared" ca="1" si="25"/>
        <v>#N/A</v>
      </c>
      <c r="AR66" s="57" t="str">
        <f t="shared" ca="1" si="26"/>
        <v/>
      </c>
      <c r="AS66" s="57">
        <f t="shared" ca="1" si="27"/>
        <v>0</v>
      </c>
      <c r="AT66" s="59" t="str">
        <f ca="1">IF(AS66=0,"",IF(OR(AR66=AR65,AR66=AR69),CONCATENATE("=",AR66),AR66))</f>
        <v/>
      </c>
      <c r="AU66" t="str">
        <f t="shared" ca="1" si="8"/>
        <v/>
      </c>
      <c r="AV66" s="60" t="str">
        <f t="shared" ca="1" si="9"/>
        <v/>
      </c>
      <c r="AX66" t="str">
        <f t="shared" ca="1" si="52"/>
        <v/>
      </c>
      <c r="AY66" s="56" t="str">
        <f>IF($G66=0,"",RANK(AX66,AX$7:AX$69)+COUNTIF(AX$7:AX66,AX66)-1)</f>
        <v/>
      </c>
      <c r="AZ66" s="57" t="e">
        <f t="shared" ca="1" si="29"/>
        <v>#N/A</v>
      </c>
      <c r="BA66" s="57" t="str">
        <f t="shared" ca="1" si="30"/>
        <v/>
      </c>
      <c r="BB66" s="57">
        <f t="shared" ca="1" si="31"/>
        <v>0</v>
      </c>
      <c r="BC66" s="59" t="str">
        <f ca="1">IF(BB66=0,"",IF(OR(BA66=BA65,BA66=BA69),CONCATENATE("=",BA66),BA66))</f>
        <v/>
      </c>
      <c r="BD66" t="str">
        <f t="shared" ca="1" si="10"/>
        <v/>
      </c>
      <c r="BE66" s="60" t="str">
        <f t="shared" ca="1" si="11"/>
        <v/>
      </c>
      <c r="BG66" t="str">
        <f t="shared" ca="1" si="53"/>
        <v/>
      </c>
      <c r="BH66" s="56" t="str">
        <f>IF($G66=0,"",RANK(BG66,BG$7:BG$69)+COUNTIF(BG$7:BG66,BG66)-1)</f>
        <v/>
      </c>
      <c r="BI66" s="57" t="e">
        <f t="shared" ca="1" si="33"/>
        <v>#N/A</v>
      </c>
      <c r="BJ66" s="57" t="str">
        <f t="shared" ca="1" si="34"/>
        <v/>
      </c>
      <c r="BK66" s="57">
        <f t="shared" ca="1" si="35"/>
        <v>0</v>
      </c>
      <c r="BL66" s="59" t="str">
        <f ca="1">IF(BK66=0,"",IF(OR(BJ66=BJ65,BJ66=BJ69),CONCATENATE("=",BJ66),BJ66))</f>
        <v/>
      </c>
      <c r="BM66" t="str">
        <f t="shared" ca="1" si="12"/>
        <v/>
      </c>
      <c r="BN66" s="60" t="str">
        <f t="shared" ca="1" si="13"/>
        <v/>
      </c>
      <c r="BP66" t="str">
        <f t="shared" ca="1" si="54"/>
        <v/>
      </c>
      <c r="BQ66" s="56" t="str">
        <f>IF($G66=0,"",RANK(BP66,BP$7:BP$69)+COUNTIF(BP$7:BP66,BP66)-1)</f>
        <v/>
      </c>
      <c r="BR66" s="57" t="e">
        <f t="shared" ca="1" si="37"/>
        <v>#N/A</v>
      </c>
      <c r="BS66" s="57" t="str">
        <f t="shared" ca="1" si="38"/>
        <v/>
      </c>
      <c r="BT66" s="57">
        <f t="shared" ca="1" si="39"/>
        <v>0</v>
      </c>
      <c r="BU66" s="59" t="str">
        <f ca="1">IF(BT66=0,"",IF(OR(BS66=BS65,BS66=BS69),CONCATENATE("=",BS66),BS66))</f>
        <v/>
      </c>
      <c r="BV66" t="str">
        <f t="shared" ca="1" si="14"/>
        <v/>
      </c>
      <c r="BW66" s="60" t="str">
        <f t="shared" ca="1" si="15"/>
        <v/>
      </c>
      <c r="BY66" t="str">
        <f t="shared" ca="1" si="5"/>
        <v/>
      </c>
      <c r="BZ66" s="56" t="str">
        <f>IF($G66=0,"",RANK(BY66,BY$7:BY$69)+COUNTIF(BY$7:BY66,BY66)-1)</f>
        <v/>
      </c>
      <c r="CA66" s="57" t="e">
        <f t="shared" ca="1" si="41"/>
        <v>#N/A</v>
      </c>
      <c r="CB66" s="57" t="str">
        <f ca="1">IF(ISERROR(CA66),"",IF(ROUND(CF66,$B$3)=ROUND(CF65,$B$3),CB65,$A66))</f>
        <v/>
      </c>
      <c r="CC66" s="57">
        <f ca="1">IF(ISERROR(CA66),0,INDEX($G$7:$G$69,CA66))</f>
        <v>0</v>
      </c>
      <c r="CD66" s="59" t="str">
        <f ca="1">IF(CC66=0,"",IF(OR(CB66=CB65,CB66=CB67),CONCATENATE("=",CB66),CB66))</f>
        <v/>
      </c>
      <c r="CE66" t="str">
        <f ca="1">IF(CC66=0,"",INDEX($D$7:$D$69,CA66))</f>
        <v/>
      </c>
      <c r="CF66" s="60" t="str">
        <f ca="1">IF(CC66=0,"",INDEX(BY$7:BY$69,CA66))</f>
        <v/>
      </c>
    </row>
    <row r="67" spans="1:84">
      <c r="A67">
        <v>61</v>
      </c>
      <c r="B67">
        <f ca="1">tblCountries!A63</f>
        <v>61</v>
      </c>
      <c r="C67" t="str">
        <f ca="1">tblCountries!C63</f>
        <v>X6</v>
      </c>
      <c r="D67" t="str">
        <f ca="1">tblCountries!B63</f>
        <v>LATIN AMERICA/CARIBBEAN</v>
      </c>
      <c r="E67">
        <f ca="1">tblCountries!H63</f>
        <v>0</v>
      </c>
      <c r="G67">
        <f ca="1">tblCountries!I63</f>
        <v>0</v>
      </c>
      <c r="H67" t="str">
        <f ca="1">IF(G67=0,"",ROUND(INDEX(norm_data,$C$2,$B67),$B$3))</f>
        <v/>
      </c>
      <c r="K67" s="56" t="str">
        <f>IF($G67=0,"",RANK(H67,H$7:H$69)+COUNTIF(H$7:H67,H67)-1)</f>
        <v/>
      </c>
      <c r="L67" s="57" t="e">
        <f ca="1">MATCH($A67,K$7:K$69,0)</f>
        <v>#N/A</v>
      </c>
      <c r="M67" s="57" t="str">
        <f ca="1">IF(ISERROR(L67),"",IF(ROUND(Q67,$B$3)=ROUND(Q66,$B$3),M66,$A67))</f>
        <v/>
      </c>
      <c r="N67" s="57">
        <f ca="1">IF(ISERROR(L67),0,INDEX($G$7:$G$69,$L67))</f>
        <v>0</v>
      </c>
      <c r="O67" s="59" t="str">
        <f ca="1">IF(N67=0,"",IF(OR(M67=M66,M67=M70),CONCATENATE("=",M67),M67))</f>
        <v/>
      </c>
      <c r="P67" t="str">
        <f ca="1">IF(N67=0,"",INDEX($D$7:$D$69,$L67))</f>
        <v/>
      </c>
      <c r="Q67" s="60" t="str">
        <f ca="1">IF(N67=0,"",INDEX($H$7:$H$69,$L67))</f>
        <v/>
      </c>
      <c r="AO67" t="str">
        <f t="shared" ca="1" si="51"/>
        <v/>
      </c>
      <c r="AP67" s="56" t="str">
        <f>IF($G67=0,"",RANK(AO67,AO$7:AO$69)+COUNTIF(AO$7:AO67,AO67)-1)</f>
        <v/>
      </c>
      <c r="AQ67" s="57" t="e">
        <f ca="1">MATCH($A67,AP$7:AP$69,0)</f>
        <v>#N/A</v>
      </c>
      <c r="AR67" s="57" t="str">
        <f ca="1">IF(ISERROR(AQ67),"",IF(ROUND(AV67,$B$3)=ROUND(AV66,$B$3),AR66,$A67))</f>
        <v/>
      </c>
      <c r="AS67" s="57">
        <f ca="1">IF(ISERROR(AQ67),0,INDEX($G$7:$G$69,AQ67))</f>
        <v>0</v>
      </c>
      <c r="AT67" s="59" t="str">
        <f ca="1">IF(AS67=0,"",IF(OR(AR67=AR66,AR67=AR70),CONCATENATE("=",AR67),AR67))</f>
        <v/>
      </c>
      <c r="AU67" t="str">
        <f ca="1">IF(AS67=0,"",INDEX($D$7:$D$69,AQ67))</f>
        <v/>
      </c>
      <c r="AV67" s="60" t="str">
        <f ca="1">IF(AS67=0,"",INDEX(AO$7:AO$69,AQ67))</f>
        <v/>
      </c>
      <c r="AX67" t="str">
        <f t="shared" ca="1" si="52"/>
        <v/>
      </c>
      <c r="AY67" s="56" t="str">
        <f>IF($G67=0,"",RANK(AX67,AX$7:AX$69)+COUNTIF(AX$7:AX67,AX67)-1)</f>
        <v/>
      </c>
      <c r="AZ67" s="57" t="e">
        <f ca="1">MATCH($A67,AY$7:AY$69,0)</f>
        <v>#N/A</v>
      </c>
      <c r="BA67" s="57" t="str">
        <f ca="1">IF(ISERROR(AZ67),"",IF(ROUND(BE67,$B$3)=ROUND(BE66,$B$3),BA66,$A67))</f>
        <v/>
      </c>
      <c r="BB67" s="57">
        <f ca="1">IF(ISERROR(AZ67),0,INDEX($G$7:$G$69,AZ67))</f>
        <v>0</v>
      </c>
      <c r="BC67" s="59" t="str">
        <f ca="1">IF(BB67=0,"",IF(OR(BA67=BA66,BA67=BA70),CONCATENATE("=",BA67),BA67))</f>
        <v/>
      </c>
      <c r="BD67" t="str">
        <f ca="1">IF(BB67=0,"",INDEX($D$7:$D$69,AZ67))</f>
        <v/>
      </c>
      <c r="BE67" s="60" t="str">
        <f ca="1">IF(BB67=0,"",INDEX(AX$7:AX$69,AZ67))</f>
        <v/>
      </c>
      <c r="BG67" t="str">
        <f t="shared" ca="1" si="53"/>
        <v/>
      </c>
      <c r="BH67" s="56" t="str">
        <f>IF($G67=0,"",RANK(BG67,BG$7:BG$69)+COUNTIF(BG$7:BG67,BG67)-1)</f>
        <v/>
      </c>
      <c r="BI67" s="57" t="e">
        <f ca="1">MATCH($A67,BH$7:BH$69,0)</f>
        <v>#N/A</v>
      </c>
      <c r="BJ67" s="57" t="str">
        <f ca="1">IF(ISERROR(BI67),"",IF(ROUND(BN67,$B$3)=ROUND(BN66,$B$3),BJ66,$A67))</f>
        <v/>
      </c>
      <c r="BK67" s="57">
        <f ca="1">IF(ISERROR(BI67),0,INDEX($G$7:$G$69,BI67))</f>
        <v>0</v>
      </c>
      <c r="BL67" s="59" t="str">
        <f ca="1">IF(BK67=0,"",IF(OR(BJ67=BJ66,BJ67=BJ70),CONCATENATE("=",BJ67),BJ67))</f>
        <v/>
      </c>
      <c r="BM67" t="str">
        <f ca="1">IF(BK67=0,"",INDEX($D$7:$D$69,BI67))</f>
        <v/>
      </c>
      <c r="BN67" s="60" t="str">
        <f ca="1">IF(BK67=0,"",INDEX(BG$7:BG$69,BI67))</f>
        <v/>
      </c>
      <c r="BP67" t="str">
        <f t="shared" ca="1" si="54"/>
        <v/>
      </c>
      <c r="BQ67" s="56" t="str">
        <f>IF($G67=0,"",RANK(BP67,BP$7:BP$69)+COUNTIF(BP$7:BP67,BP67)-1)</f>
        <v/>
      </c>
      <c r="BR67" s="57" t="e">
        <f ca="1">MATCH($A67,BQ$7:BQ$69,0)</f>
        <v>#N/A</v>
      </c>
      <c r="BS67" s="57" t="str">
        <f ca="1">IF(ISERROR(BR67),"",IF(ROUND(BW67,$B$3)=ROUND(BW66,$B$3),BS66,$A67))</f>
        <v/>
      </c>
      <c r="BT67" s="57">
        <f ca="1">IF(ISERROR(BR67),0,INDEX($G$7:$G$69,BR67))</f>
        <v>0</v>
      </c>
      <c r="BU67" s="59" t="str">
        <f ca="1">IF(BT67=0,"",IF(OR(BS67=BS66,BS67=BS70),CONCATENATE("=",BS67),BS67))</f>
        <v/>
      </c>
      <c r="BV67" t="str">
        <f ca="1">IF(BT67=0,"",INDEX($D$7:$D$69,BR67))</f>
        <v/>
      </c>
      <c r="BW67" s="60" t="str">
        <f ca="1">IF(BT67=0,"",INDEX(BP$7:BP$69,BR67))</f>
        <v/>
      </c>
      <c r="BY67" t="str">
        <f t="shared" ca="1" si="5"/>
        <v/>
      </c>
      <c r="BZ67" s="56" t="str">
        <f>IF($G67=0,"",RANK(BY67,BY$7:BY$69)+COUNTIF(BY$7:BY67,BY67)-1)</f>
        <v/>
      </c>
      <c r="CA67" s="57" t="e">
        <f t="shared" ca="1" si="41"/>
        <v>#N/A</v>
      </c>
      <c r="CB67" s="57" t="str">
        <f ca="1">IF(ISERROR(CA67),"",IF(ROUND(CF67,$B$3)=ROUND(CF66,$B$3),CB66,$A67))</f>
        <v/>
      </c>
      <c r="CC67" s="57">
        <f ca="1">IF(ISERROR(CA67),0,INDEX($G$7:$G$69,CA67))</f>
        <v>0</v>
      </c>
      <c r="CD67" s="59" t="str">
        <f ca="1">IF(CC67=0,"",IF(OR(CB67=CB66,CB67=CB68),CONCATENATE("=",CB67),CB67))</f>
        <v/>
      </c>
      <c r="CE67" t="str">
        <f ca="1">IF(CC67=0,"",INDEX($D$7:$D$69,CA67))</f>
        <v/>
      </c>
      <c r="CF67" s="60" t="str">
        <f ca="1">IF(CC67=0,"",INDEX(BY$7:BY$69,CA67))</f>
        <v/>
      </c>
    </row>
    <row r="68" spans="1:84">
      <c r="A68">
        <v>62</v>
      </c>
      <c r="B68">
        <f ca="1">tblCountries!A64</f>
        <v>62</v>
      </c>
      <c r="C68" t="str">
        <f ca="1">tblCountries!C64</f>
        <v>X7</v>
      </c>
      <c r="D68" t="str">
        <f ca="1">tblCountries!B64</f>
        <v>SOUTH ASIA</v>
      </c>
      <c r="E68">
        <f ca="1">tblCountries!H64</f>
        <v>0</v>
      </c>
      <c r="G68">
        <f ca="1">tblCountries!I64</f>
        <v>0</v>
      </c>
      <c r="H68" t="str">
        <f ca="1">IF(G68=0,"",ROUND(INDEX(norm_data,$C$2,$B68),$B$3))</f>
        <v/>
      </c>
      <c r="K68" s="56" t="str">
        <f>IF($G68=0,"",RANK(H68,H$7:H$69)+COUNTIF(H$7:H68,H68)-1)</f>
        <v/>
      </c>
      <c r="L68" s="57" t="e">
        <f ca="1">MATCH($A68,K$7:K$69,0)</f>
        <v>#N/A</v>
      </c>
      <c r="M68" s="57" t="str">
        <f ca="1">IF(ISERROR(L68),"",IF(ROUND(Q68,$B$3)=ROUND(Q67,$B$3),M67,$A68))</f>
        <v/>
      </c>
      <c r="N68" s="57">
        <f ca="1">IF(ISERROR(L68),0,INDEX($G$7:$G$69,$L68))</f>
        <v>0</v>
      </c>
      <c r="O68" s="59" t="str">
        <f ca="1">IF(N68=0,"",IF(OR(M68=M67,M68=M71),CONCATENATE("=",M68),M68))</f>
        <v/>
      </c>
      <c r="P68" t="str">
        <f ca="1">IF(N68=0,"",INDEX($D$7:$D$69,$L68))</f>
        <v/>
      </c>
      <c r="Q68" s="60" t="str">
        <f ca="1">IF(N68=0,"",INDEX($H$7:$H$69,$L68))</f>
        <v/>
      </c>
      <c r="AO68" t="str">
        <f t="shared" ca="1" si="51"/>
        <v/>
      </c>
      <c r="AP68" s="56" t="str">
        <f>IF($G68=0,"",RANK(AO68,AO$7:AO$69)+COUNTIF(AO$7:AO68,AO68)-1)</f>
        <v/>
      </c>
      <c r="AQ68" s="57" t="e">
        <f ca="1">MATCH($A68,AP$7:AP$69,0)</f>
        <v>#N/A</v>
      </c>
      <c r="AR68" s="57" t="str">
        <f ca="1">IF(ISERROR(AQ68),"",IF(ROUND(AV68,$B$3)=ROUND(AV67,$B$3),AR67,$A68))</f>
        <v/>
      </c>
      <c r="AS68" s="57">
        <f ca="1">IF(ISERROR(AQ68),0,INDEX($G$7:$G$69,AQ68))</f>
        <v>0</v>
      </c>
      <c r="AT68" s="59" t="str">
        <f ca="1">IF(AS68=0,"",IF(OR(AR68=AR67,AR68=AR71),CONCATENATE("=",AR68),AR68))</f>
        <v/>
      </c>
      <c r="AU68" t="str">
        <f ca="1">IF(AS68=0,"",INDEX($D$7:$D$69,AQ68))</f>
        <v/>
      </c>
      <c r="AV68" s="60" t="str">
        <f ca="1">IF(AS68=0,"",INDEX(AO$7:AO$69,AQ68))</f>
        <v/>
      </c>
      <c r="AX68" t="str">
        <f t="shared" ca="1" si="52"/>
        <v/>
      </c>
      <c r="AY68" s="56" t="str">
        <f>IF($G68=0,"",RANK(AX68,AX$7:AX$69)+COUNTIF(AX$7:AX68,AX68)-1)</f>
        <v/>
      </c>
      <c r="AZ68" s="57" t="e">
        <f ca="1">MATCH($A68,AY$7:AY$69,0)</f>
        <v>#N/A</v>
      </c>
      <c r="BA68" s="57" t="str">
        <f ca="1">IF(ISERROR(AZ68),"",IF(ROUND(BE68,$B$3)=ROUND(BE67,$B$3),BA67,$A68))</f>
        <v/>
      </c>
      <c r="BB68" s="57">
        <f ca="1">IF(ISERROR(AZ68),0,INDEX($G$7:$G$69,AZ68))</f>
        <v>0</v>
      </c>
      <c r="BC68" s="59" t="str">
        <f ca="1">IF(BB68=0,"",IF(OR(BA68=BA67,BA68=BA71),CONCATENATE("=",BA68),BA68))</f>
        <v/>
      </c>
      <c r="BD68" t="str">
        <f ca="1">IF(BB68=0,"",INDEX($D$7:$D$69,AZ68))</f>
        <v/>
      </c>
      <c r="BE68" s="60" t="str">
        <f ca="1">IF(BB68=0,"",INDEX(AX$7:AX$69,AZ68))</f>
        <v/>
      </c>
      <c r="BG68" t="str">
        <f t="shared" ca="1" si="53"/>
        <v/>
      </c>
      <c r="BH68" s="56" t="str">
        <f>IF($G68=0,"",RANK(BG68,BG$7:BG$69)+COUNTIF(BG$7:BG68,BG68)-1)</f>
        <v/>
      </c>
      <c r="BI68" s="57" t="e">
        <f ca="1">MATCH($A68,BH$7:BH$69,0)</f>
        <v>#N/A</v>
      </c>
      <c r="BJ68" s="57" t="str">
        <f ca="1">IF(ISERROR(BI68),"",IF(ROUND(BN68,$B$3)=ROUND(BN67,$B$3),BJ67,$A68))</f>
        <v/>
      </c>
      <c r="BK68" s="57">
        <f ca="1">IF(ISERROR(BI68),0,INDEX($G$7:$G$69,BI68))</f>
        <v>0</v>
      </c>
      <c r="BL68" s="59" t="str">
        <f ca="1">IF(BK68=0,"",IF(OR(BJ68=BJ67,BJ68=BJ71),CONCATENATE("=",BJ68),BJ68))</f>
        <v/>
      </c>
      <c r="BM68" t="str">
        <f ca="1">IF(BK68=0,"",INDEX($D$7:$D$69,BI68))</f>
        <v/>
      </c>
      <c r="BN68" s="60" t="str">
        <f ca="1">IF(BK68=0,"",INDEX(BG$7:BG$69,BI68))</f>
        <v/>
      </c>
      <c r="BP68" t="str">
        <f t="shared" ca="1" si="54"/>
        <v/>
      </c>
      <c r="BQ68" s="56" t="str">
        <f>IF($G68=0,"",RANK(BP68,BP$7:BP$69)+COUNTIF(BP$7:BP68,BP68)-1)</f>
        <v/>
      </c>
      <c r="BR68" s="57" t="e">
        <f ca="1">MATCH($A68,BQ$7:BQ$69,0)</f>
        <v>#N/A</v>
      </c>
      <c r="BS68" s="57" t="str">
        <f ca="1">IF(ISERROR(BR68),"",IF(ROUND(BW68,$B$3)=ROUND(BW67,$B$3),BS67,$A68))</f>
        <v/>
      </c>
      <c r="BT68" s="57">
        <f ca="1">IF(ISERROR(BR68),0,INDEX($G$7:$G$69,BR68))</f>
        <v>0</v>
      </c>
      <c r="BU68" s="59" t="str">
        <f ca="1">IF(BT68=0,"",IF(OR(BS68=BS67,BS68=BS71),CONCATENATE("=",BS68),BS68))</f>
        <v/>
      </c>
      <c r="BV68" t="str">
        <f ca="1">IF(BT68=0,"",INDEX($D$7:$D$69,BR68))</f>
        <v/>
      </c>
      <c r="BW68" s="60" t="str">
        <f ca="1">IF(BT68=0,"",INDEX(BP$7:BP$69,BR68))</f>
        <v/>
      </c>
      <c r="BY68" t="str">
        <f t="shared" ca="1" si="5"/>
        <v/>
      </c>
      <c r="BZ68" s="56" t="str">
        <f>IF($G68=0,"",RANK(BY68,BY$7:BY$69)+COUNTIF(BY$7:BY68,BY68)-1)</f>
        <v/>
      </c>
      <c r="CA68" s="57" t="e">
        <f t="shared" ca="1" si="41"/>
        <v>#N/A</v>
      </c>
      <c r="CB68" s="57" t="str">
        <f ca="1">IF(ISERROR(CA68),"",IF(ROUND(CF68,$B$3)=ROUND(CF67,$B$3),CB67,$A68))</f>
        <v/>
      </c>
      <c r="CC68" s="57">
        <f ca="1">IF(ISERROR(CA68),0,INDEX($G$7:$G$69,CA68))</f>
        <v>0</v>
      </c>
      <c r="CD68" s="59" t="str">
        <f ca="1">IF(CC68=0,"",IF(OR(CB68=CB67,CB68=CB69),CONCATENATE("=",CB68),CB68))</f>
        <v/>
      </c>
      <c r="CE68" t="str">
        <f ca="1">IF(CC68=0,"",INDEX($D$7:$D$69,CA68))</f>
        <v/>
      </c>
      <c r="CF68" s="60" t="str">
        <f ca="1">IF(CC68=0,"",INDEX(BY$7:BY$69,CA68))</f>
        <v/>
      </c>
    </row>
    <row r="69" spans="1:84">
      <c r="A69">
        <v>63</v>
      </c>
      <c r="B69">
        <f ca="1">tblCountries!A65</f>
        <v>63</v>
      </c>
      <c r="C69" t="str">
        <f ca="1">tblCountries!C65</f>
        <v>X8</v>
      </c>
      <c r="D69" t="str">
        <f ca="1">tblCountries!B65</f>
        <v>EAST ASIA</v>
      </c>
      <c r="E69">
        <f ca="1">tblCountries!H65</f>
        <v>0</v>
      </c>
      <c r="G69">
        <f ca="1">tblCountries!I65</f>
        <v>0</v>
      </c>
      <c r="H69" t="str">
        <f ca="1">IF(G69=0,"",ROUND(INDEX(norm_data,$C$2,$B69),$B$3))</f>
        <v/>
      </c>
      <c r="K69" s="56" t="str">
        <f>IF($G69=0,"",RANK(H69,H$7:H$69)+COUNTIF(H$7:H69,H69)-1)</f>
        <v/>
      </c>
      <c r="L69" s="57" t="e">
        <f ca="1">MATCH($A69,K$7:K$69,0)</f>
        <v>#N/A</v>
      </c>
      <c r="M69" s="57" t="str">
        <f ca="1">IF(ISERROR(L69),"",IF(ROUND(Q69,$B$3)=ROUND(Q68,$B$3),M68,$A69))</f>
        <v/>
      </c>
      <c r="N69" s="57">
        <f ca="1">IF(ISERROR(L69),0,INDEX($G$7:$G$69,$L69))</f>
        <v>0</v>
      </c>
      <c r="O69" s="59" t="str">
        <f ca="1">IF(N69=0,"",IF(OR(M69=M68,M69=M72),CONCATENATE("=",M69),M69))</f>
        <v/>
      </c>
      <c r="P69" t="str">
        <f ca="1">IF(N69=0,"",INDEX($D$7:$D$69,$L69))</f>
        <v/>
      </c>
      <c r="Q69" s="60" t="str">
        <f ca="1">IF(N69=0,"",INDEX($H$7:$H$69,$L69))</f>
        <v/>
      </c>
      <c r="AO69" t="str">
        <f t="shared" ca="1" si="51"/>
        <v/>
      </c>
      <c r="AP69" s="56" t="str">
        <f>IF($G69=0,"",RANK(AO69,AO$7:AO$69)+COUNTIF(AO$7:AO69,AO69)-1)</f>
        <v/>
      </c>
      <c r="AQ69" s="57" t="e">
        <f ca="1">MATCH($A69,AP$7:AP$69,0)</f>
        <v>#N/A</v>
      </c>
      <c r="AR69" s="57" t="str">
        <f ca="1">IF(ISERROR(AQ69),"",IF(ROUND(AV69,$B$3)=ROUND(AV68,$B$3),AR68,$A69))</f>
        <v/>
      </c>
      <c r="AS69" s="57">
        <f ca="1">IF(ISERROR(AQ69),0,INDEX($G$7:$G$69,AQ69))</f>
        <v>0</v>
      </c>
      <c r="AT69" s="59" t="str">
        <f ca="1">IF(AS69=0,"",IF(OR(AR69=AR68,AR69=AR72),CONCATENATE("=",AR69),AR69))</f>
        <v/>
      </c>
      <c r="AU69" t="str">
        <f ca="1">IF(AS69=0,"",INDEX($D$7:$D$69,AQ69))</f>
        <v/>
      </c>
      <c r="AV69" s="60" t="str">
        <f ca="1">IF(AS69=0,"",INDEX(AO$7:AO$69,AQ69))</f>
        <v/>
      </c>
      <c r="AX69" t="str">
        <f t="shared" ca="1" si="52"/>
        <v/>
      </c>
      <c r="AY69" s="56" t="str">
        <f>IF($G69=0,"",RANK(AX69,AX$7:AX$69)+COUNTIF(AX$7:AX69,AX69)-1)</f>
        <v/>
      </c>
      <c r="AZ69" s="57" t="e">
        <f ca="1">MATCH($A69,AY$7:AY$69,0)</f>
        <v>#N/A</v>
      </c>
      <c r="BA69" s="57" t="str">
        <f ca="1">IF(ISERROR(AZ69),"",IF(ROUND(BE69,$B$3)=ROUND(BE68,$B$3),BA68,$A69))</f>
        <v/>
      </c>
      <c r="BB69" s="57">
        <f ca="1">IF(ISERROR(AZ69),0,INDEX($G$7:$G$69,AZ69))</f>
        <v>0</v>
      </c>
      <c r="BC69" s="59" t="str">
        <f ca="1">IF(BB69=0,"",IF(OR(BA69=BA68,BA69=BA72),CONCATENATE("=",BA69),BA69))</f>
        <v/>
      </c>
      <c r="BD69" t="str">
        <f ca="1">IF(BB69=0,"",INDEX($D$7:$D$69,AZ69))</f>
        <v/>
      </c>
      <c r="BE69" s="60" t="str">
        <f ca="1">IF(BB69=0,"",INDEX(AX$7:AX$69,AZ69))</f>
        <v/>
      </c>
      <c r="BG69" t="str">
        <f t="shared" ca="1" si="53"/>
        <v/>
      </c>
      <c r="BH69" s="56" t="str">
        <f>IF($G69=0,"",RANK(BG69,BG$7:BG$69)+COUNTIF(BG$7:BG69,BG69)-1)</f>
        <v/>
      </c>
      <c r="BI69" s="57" t="e">
        <f ca="1">MATCH($A69,BH$7:BH$69,0)</f>
        <v>#N/A</v>
      </c>
      <c r="BJ69" s="57" t="str">
        <f ca="1">IF(ISERROR(BI69),"",IF(ROUND(BN69,$B$3)=ROUND(BN68,$B$3),BJ68,$A69))</f>
        <v/>
      </c>
      <c r="BK69" s="57">
        <f ca="1">IF(ISERROR(BI69),0,INDEX($G$7:$G$69,BI69))</f>
        <v>0</v>
      </c>
      <c r="BL69" s="59" t="str">
        <f ca="1">IF(BK69=0,"",IF(OR(BJ69=BJ68,BJ69=BJ72),CONCATENATE("=",BJ69),BJ69))</f>
        <v/>
      </c>
      <c r="BM69" t="str">
        <f ca="1">IF(BK69=0,"",INDEX($D$7:$D$69,BI69))</f>
        <v/>
      </c>
      <c r="BN69" s="60" t="str">
        <f ca="1">IF(BK69=0,"",INDEX(BG$7:BG$69,BI69))</f>
        <v/>
      </c>
      <c r="BP69" t="str">
        <f t="shared" ca="1" si="54"/>
        <v/>
      </c>
      <c r="BQ69" s="56" t="str">
        <f>IF($G69=0,"",RANK(BP69,BP$7:BP$69)+COUNTIF(BP$7:BP69,BP69)-1)</f>
        <v/>
      </c>
      <c r="BR69" s="57" t="e">
        <f ca="1">MATCH($A69,BQ$7:BQ$69,0)</f>
        <v>#N/A</v>
      </c>
      <c r="BS69" s="57" t="str">
        <f ca="1">IF(ISERROR(BR69),"",IF(ROUND(BW69,$B$3)=ROUND(BW68,$B$3),BS68,$A69))</f>
        <v/>
      </c>
      <c r="BT69" s="57">
        <f ca="1">IF(ISERROR(BR69),0,INDEX($G$7:$G$69,BR69))</f>
        <v>0</v>
      </c>
      <c r="BU69" s="59" t="str">
        <f ca="1">IF(BT69=0,"",IF(OR(BS69=BS68,BS69=BS72),CONCATENATE("=",BS69),BS69))</f>
        <v/>
      </c>
      <c r="BV69" t="str">
        <f ca="1">IF(BT69=0,"",INDEX($D$7:$D$69,BR69))</f>
        <v/>
      </c>
      <c r="BW69" s="60" t="str">
        <f ca="1">IF(BT69=0,"",INDEX(BP$7:BP$69,BR69))</f>
        <v/>
      </c>
      <c r="BY69" t="str">
        <f t="shared" ca="1" si="5"/>
        <v/>
      </c>
      <c r="BZ69" s="56" t="str">
        <f>IF($G69=0,"",RANK(BY69,BY$7:BY$69)+COUNTIF(BY$7:BY69,BY69)-1)</f>
        <v/>
      </c>
      <c r="CA69" s="57" t="e">
        <f t="shared" ca="1" si="41"/>
        <v>#N/A</v>
      </c>
      <c r="CB69" s="57" t="str">
        <f ca="1">IF(ISERROR(CA69),"",IF(ROUND(CF69,$B$3)=ROUND(CF68,$B$3),CB68,$A69))</f>
        <v/>
      </c>
      <c r="CC69" s="57">
        <f ca="1">IF(ISERROR(CA69),0,INDEX($G$7:$G$69,CA69))</f>
        <v>0</v>
      </c>
      <c r="CD69" s="59" t="str">
        <f ca="1">IF(CC69=0,"",IF(OR(CB69=CB68,CB69=CB70),CONCATENATE("=",CB69),CB69))</f>
        <v/>
      </c>
      <c r="CE69" t="str">
        <f ca="1">IF(CC69=0,"",INDEX($D$7:$D$69,CA69))</f>
        <v/>
      </c>
      <c r="CF69" s="60" t="str">
        <f ca="1">IF(CC69=0,"",INDEX(BY$7:BY$69,CA69))</f>
        <v/>
      </c>
    </row>
  </sheetData>
  <phoneticPr fontId="10"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15"/>
  <dimension ref="A1:BE59"/>
  <sheetViews>
    <sheetView topLeftCell="A10" workbookViewId="0">
      <selection activeCell="C26" sqref="C26:BE26"/>
    </sheetView>
  </sheetViews>
  <sheetFormatPr defaultRowHeight="12.75"/>
  <cols>
    <col min="1" max="1" width="19.7109375" style="92" customWidth="1"/>
    <col min="2" max="2" width="9.140625" style="92"/>
    <col min="3" max="3" width="9.85546875" style="92" customWidth="1"/>
    <col min="4" max="4" width="8" style="92" customWidth="1"/>
    <col min="5" max="5" width="4.5703125" style="92" customWidth="1"/>
    <col min="6" max="6" width="5" style="92" customWidth="1"/>
    <col min="7" max="8" width="6" style="92" customWidth="1"/>
    <col min="9" max="9" width="2.85546875" style="92" customWidth="1"/>
    <col min="10" max="16" width="4.5703125" style="92" customWidth="1"/>
    <col min="17" max="17" width="7" style="92" customWidth="1"/>
    <col min="18" max="18" width="5.42578125" style="92" customWidth="1"/>
    <col min="19" max="21" width="4.5703125" style="92" customWidth="1"/>
    <col min="22" max="22" width="5.28515625" style="92" customWidth="1"/>
    <col min="23" max="29" width="4" style="92" customWidth="1"/>
    <col min="30" max="30" width="3.85546875" style="92" customWidth="1"/>
    <col min="31" max="32" width="4" style="92" customWidth="1"/>
    <col min="33" max="57" width="4.42578125" style="92" customWidth="1"/>
    <col min="58" max="16384" width="9.140625" style="92"/>
  </cols>
  <sheetData>
    <row r="1" spans="1:57">
      <c r="C1" s="92" t="s">
        <v>882</v>
      </c>
      <c r="D1" s="92" t="s">
        <v>883</v>
      </c>
      <c r="E1" s="92" t="s">
        <v>884</v>
      </c>
      <c r="F1" s="92" t="s">
        <v>1132</v>
      </c>
      <c r="G1" s="92" t="s">
        <v>1133</v>
      </c>
      <c r="H1" s="92" t="s">
        <v>1134</v>
      </c>
      <c r="I1" s="92" t="s">
        <v>1135</v>
      </c>
      <c r="J1" s="92" t="s">
        <v>885</v>
      </c>
      <c r="K1" s="92" t="s">
        <v>887</v>
      </c>
      <c r="L1" s="92" t="s">
        <v>888</v>
      </c>
      <c r="M1" s="92" t="s">
        <v>889</v>
      </c>
      <c r="N1" s="92" t="s">
        <v>1136</v>
      </c>
      <c r="O1" s="92" t="s">
        <v>1137</v>
      </c>
      <c r="P1" s="92" t="s">
        <v>1138</v>
      </c>
      <c r="Q1" s="92" t="s">
        <v>1139</v>
      </c>
    </row>
    <row r="2" spans="1:57">
      <c r="A2" s="92" t="s">
        <v>1096</v>
      </c>
      <c r="B2" s="92">
        <f ca="1">MATCH(C2,scores_2009!C$3:C$28,0)</f>
        <v>1</v>
      </c>
      <c r="C2" s="92" t="str">
        <f ca="1">uxb_settings!F32</f>
        <v>OVERALL</v>
      </c>
      <c r="D2" s="92">
        <f ca="1">uxb_settings!G32</f>
        <v>0</v>
      </c>
      <c r="E2" s="92" t="str">
        <f ca="1">uxb_settings!H32</f>
        <v/>
      </c>
      <c r="F2" s="92" t="str">
        <f ca="1">uxb_settings!I32</f>
        <v>Overall score</v>
      </c>
      <c r="G2" s="92" t="str">
        <f ca="1">uxb_settings!J32</f>
        <v>Normalised score 0-100, 100=best</v>
      </c>
      <c r="H2" s="92" t="str">
        <f ca="1">uxb_settings!K32</f>
        <v>Overall score: Weighted sum of the following category scores:
●  Regulatory Framework 
●  Investment Climate
●  Institutional Development</v>
      </c>
      <c r="I2" s="92">
        <f ca="1">uxb_settings!L32</f>
        <v>0</v>
      </c>
      <c r="J2" s="92" t="str">
        <f ca="1">uxb_settings!M32</f>
        <v>Overall score</v>
      </c>
      <c r="K2" s="92" t="str">
        <f ca="1">uxb_settings!N32</f>
        <v>Overall score</v>
      </c>
      <c r="L2" s="92">
        <f ca="1">uxb_settings!O32</f>
        <v>0</v>
      </c>
      <c r="M2" s="92">
        <f ca="1">uxb_settings!P32</f>
        <v>0</v>
      </c>
      <c r="N2" s="92">
        <f ca="1">uxb_settings!Q32</f>
        <v>0</v>
      </c>
      <c r="O2" s="92">
        <f ca="1">uxb_settings!R32</f>
        <v>0</v>
      </c>
      <c r="P2" s="92">
        <f ca="1">uxb_settings!S32</f>
        <v>0</v>
      </c>
      <c r="Q2" s="92">
        <f ca="1">uxb_settings!T32</f>
        <v>0</v>
      </c>
      <c r="R2" s="92" t="s">
        <v>1140</v>
      </c>
    </row>
    <row r="3" spans="1:57">
      <c r="A3" s="92" t="s">
        <v>1097</v>
      </c>
      <c r="B3" s="92">
        <f ca="1">MATCH(C3,scores_2009!C$3:C$28,0)</f>
        <v>26</v>
      </c>
      <c r="C3" s="92" t="str">
        <f ca="1">uxb_settings!F35</f>
        <v>DEP02</v>
      </c>
      <c r="D3" s="92">
        <f ca="1">uxb_settings!G35</f>
        <v>0</v>
      </c>
      <c r="E3" s="92">
        <f ca="1">uxb_settings!H35</f>
        <v>0</v>
      </c>
      <c r="F3" s="92" t="str">
        <f ca="1">uxb_settings!I35</f>
        <v>MFI clients as % of microenterprises</v>
      </c>
      <c r="G3" s="92" t="str">
        <f ca="1">uxb_settings!J35</f>
        <v>% of microenterprises</v>
      </c>
      <c r="H3" s="92">
        <f ca="1">uxb_settings!K35</f>
        <v>0</v>
      </c>
      <c r="I3" s="92">
        <f ca="1">uxb_settings!L35</f>
        <v>0</v>
      </c>
      <c r="J3" s="92">
        <f ca="1">uxb_settings!M35</f>
        <v>0</v>
      </c>
      <c r="K3" s="92" t="str">
        <f ca="1">uxb_settings!N35</f>
        <v>MFI clients as % of microenterprises</v>
      </c>
      <c r="L3" s="92">
        <f ca="1">uxb_settings!O35</f>
        <v>0</v>
      </c>
      <c r="M3" s="92">
        <f ca="1">uxb_settings!P35</f>
        <v>0</v>
      </c>
      <c r="N3" s="92">
        <f ca="1">uxb_settings!Q35</f>
        <v>0</v>
      </c>
      <c r="O3" s="92">
        <f ca="1">uxb_settings!R35</f>
        <v>0</v>
      </c>
      <c r="P3" s="92">
        <f ca="1">uxb_settings!S35</f>
        <v>0</v>
      </c>
      <c r="Q3" s="92">
        <f ca="1">uxb_settings!T35</f>
        <v>0</v>
      </c>
      <c r="R3" s="92" t="s">
        <v>1140</v>
      </c>
    </row>
    <row r="4" spans="1:57">
      <c r="A4" s="93" t="s">
        <v>878</v>
      </c>
      <c r="B4" s="92">
        <f ca="1">uxb_settings!B11</f>
        <v>0</v>
      </c>
      <c r="C4" s="92" t="str">
        <f ca="1">uxb_settings!C11</f>
        <v>&lt;none&gt;</v>
      </c>
    </row>
    <row r="5" spans="1:57">
      <c r="A5" s="93" t="s">
        <v>1098</v>
      </c>
      <c r="B5" s="92" t="b">
        <f ca="1">uxb_settings!B37</f>
        <v>0</v>
      </c>
    </row>
    <row r="6" spans="1:57">
      <c r="A6" s="93" t="s">
        <v>1099</v>
      </c>
      <c r="B6" s="92" t="b">
        <f ca="1">uxb_settings!B38</f>
        <v>1</v>
      </c>
    </row>
    <row r="7" spans="1:57">
      <c r="B7" s="92" t="str">
        <f>CONCATENATE(F3, " VS ",F2)</f>
        <v>MFI clients as % of microenterprises VS Overall score</v>
      </c>
    </row>
    <row r="8" spans="1:57">
      <c r="B8" s="92" t="str">
        <f>CONCATENATE(F2," (",G2,")")</f>
        <v>Overall score (Normalised score 0-100, 100=best)</v>
      </c>
    </row>
    <row r="9" spans="1:57">
      <c r="B9" s="92" t="str">
        <f>CONCATENATE(F3," (",G3,")")</f>
        <v>MFI clients as % of microenterprises (% of microenterprises)</v>
      </c>
    </row>
    <row r="11" spans="1:57">
      <c r="C11" s="92">
        <v>1</v>
      </c>
      <c r="D11" s="92">
        <v>2</v>
      </c>
      <c r="E11" s="92">
        <v>3</v>
      </c>
      <c r="F11" s="92">
        <v>4</v>
      </c>
      <c r="G11" s="92">
        <v>5</v>
      </c>
      <c r="H11" s="92">
        <v>6</v>
      </c>
      <c r="I11" s="92">
        <v>7</v>
      </c>
      <c r="J11" s="92">
        <v>8</v>
      </c>
      <c r="K11" s="92">
        <v>9</v>
      </c>
      <c r="L11" s="92">
        <v>10</v>
      </c>
      <c r="M11" s="92">
        <v>11</v>
      </c>
      <c r="N11" s="92">
        <v>12</v>
      </c>
      <c r="O11" s="92">
        <v>13</v>
      </c>
      <c r="P11" s="92">
        <v>14</v>
      </c>
      <c r="Q11" s="92">
        <v>15</v>
      </c>
      <c r="R11" s="92">
        <v>16</v>
      </c>
      <c r="S11" s="92">
        <v>17</v>
      </c>
      <c r="T11" s="92">
        <v>18</v>
      </c>
      <c r="U11" s="92">
        <v>19</v>
      </c>
      <c r="V11" s="92">
        <v>20</v>
      </c>
      <c r="W11" s="92">
        <v>21</v>
      </c>
      <c r="X11" s="92">
        <v>22</v>
      </c>
      <c r="Y11" s="92">
        <v>23</v>
      </c>
      <c r="Z11" s="92">
        <v>24</v>
      </c>
      <c r="AA11" s="92">
        <v>25</v>
      </c>
      <c r="AB11" s="92">
        <v>26</v>
      </c>
      <c r="AC11" s="92">
        <v>27</v>
      </c>
      <c r="AD11" s="92">
        <v>28</v>
      </c>
      <c r="AE11" s="92">
        <v>29</v>
      </c>
      <c r="AF11" s="92">
        <v>30</v>
      </c>
      <c r="AG11" s="92">
        <v>31</v>
      </c>
      <c r="AH11" s="92">
        <v>32</v>
      </c>
      <c r="AI11" s="92">
        <v>33</v>
      </c>
      <c r="AJ11" s="92">
        <v>34</v>
      </c>
      <c r="AK11" s="92">
        <v>35</v>
      </c>
      <c r="AL11" s="92">
        <v>36</v>
      </c>
      <c r="AM11" s="92">
        <v>37</v>
      </c>
      <c r="AN11" s="92">
        <v>38</v>
      </c>
      <c r="AO11" s="92">
        <v>39</v>
      </c>
      <c r="AP11" s="92">
        <v>40</v>
      </c>
      <c r="AQ11" s="92">
        <v>41</v>
      </c>
      <c r="AR11" s="92">
        <v>42</v>
      </c>
      <c r="AS11" s="92">
        <v>43</v>
      </c>
      <c r="AT11" s="92">
        <v>44</v>
      </c>
      <c r="AU11" s="92">
        <v>45</v>
      </c>
      <c r="AV11" s="92">
        <v>46</v>
      </c>
      <c r="AW11" s="92">
        <v>47</v>
      </c>
      <c r="AX11" s="92">
        <v>48</v>
      </c>
      <c r="AY11" s="92">
        <v>49</v>
      </c>
      <c r="AZ11" s="92">
        <v>50</v>
      </c>
      <c r="BA11" s="92">
        <v>51</v>
      </c>
      <c r="BB11" s="92">
        <v>52</v>
      </c>
      <c r="BC11" s="92">
        <v>53</v>
      </c>
      <c r="BD11" s="92">
        <v>54</v>
      </c>
      <c r="BE11" s="92">
        <v>55</v>
      </c>
    </row>
    <row r="12" spans="1:57">
      <c r="C12" s="92" t="str">
        <f t="shared" ref="C12:AH12" ca="1" si="0">INDEX(lu_countries,C11)</f>
        <v>Argentina</v>
      </c>
      <c r="D12" s="92" t="str">
        <f t="shared" ca="1" si="0"/>
        <v>Armenia</v>
      </c>
      <c r="E12" s="92" t="str">
        <f t="shared" ca="1" si="0"/>
        <v>Azerbaijan</v>
      </c>
      <c r="F12" s="92" t="str">
        <f t="shared" ca="1" si="0"/>
        <v>Bangladesh</v>
      </c>
      <c r="G12" s="92" t="str">
        <f t="shared" ca="1" si="0"/>
        <v>Bolivia</v>
      </c>
      <c r="H12" s="92" t="str">
        <f t="shared" ca="1" si="0"/>
        <v>Bosnia</v>
      </c>
      <c r="I12" s="92" t="str">
        <f t="shared" ca="1" si="0"/>
        <v>Brazil</v>
      </c>
      <c r="J12" s="92" t="str">
        <f t="shared" ca="1" si="0"/>
        <v>Cambodia</v>
      </c>
      <c r="K12" s="92" t="str">
        <f t="shared" ca="1" si="0"/>
        <v>Cameroon</v>
      </c>
      <c r="L12" s="92" t="str">
        <f t="shared" ca="1" si="0"/>
        <v>Chile</v>
      </c>
      <c r="M12" s="92" t="str">
        <f t="shared" ca="1" si="0"/>
        <v>China</v>
      </c>
      <c r="N12" s="92" t="str">
        <f t="shared" ca="1" si="0"/>
        <v>Colombia</v>
      </c>
      <c r="O12" s="92" t="str">
        <f t="shared" ca="1" si="0"/>
        <v>Costa Rica</v>
      </c>
      <c r="P12" s="92" t="str">
        <f t="shared" ca="1" si="0"/>
        <v>Dominican Republic</v>
      </c>
      <c r="Q12" s="92" t="str">
        <f t="shared" ca="1" si="0"/>
        <v>DRC</v>
      </c>
      <c r="R12" s="92" t="str">
        <f t="shared" ca="1" si="0"/>
        <v>Ecuador</v>
      </c>
      <c r="S12" s="92" t="str">
        <f t="shared" ca="1" si="0"/>
        <v>El Salvador</v>
      </c>
      <c r="T12" s="92" t="str">
        <f t="shared" ca="1" si="0"/>
        <v>Ethiopia</v>
      </c>
      <c r="U12" s="92" t="str">
        <f t="shared" ca="1" si="0"/>
        <v>Georgia</v>
      </c>
      <c r="V12" s="92" t="str">
        <f t="shared" ca="1" si="0"/>
        <v>Ghana</v>
      </c>
      <c r="W12" s="92" t="str">
        <f t="shared" ca="1" si="0"/>
        <v>Guatemala</v>
      </c>
      <c r="X12" s="92" t="str">
        <f t="shared" ca="1" si="0"/>
        <v>Haiti</v>
      </c>
      <c r="Y12" s="92" t="str">
        <f t="shared" ca="1" si="0"/>
        <v>Honduras</v>
      </c>
      <c r="Z12" s="92" t="str">
        <f t="shared" ca="1" si="0"/>
        <v>India</v>
      </c>
      <c r="AA12" s="92" t="str">
        <f t="shared" ca="1" si="0"/>
        <v>Indonesia</v>
      </c>
      <c r="AB12" s="92" t="str">
        <f t="shared" ca="1" si="0"/>
        <v>Jamaica</v>
      </c>
      <c r="AC12" s="92" t="str">
        <f t="shared" ca="1" si="0"/>
        <v>Kenya</v>
      </c>
      <c r="AD12" s="92" t="str">
        <f t="shared" ca="1" si="0"/>
        <v>Kyrgyzstan</v>
      </c>
      <c r="AE12" s="92" t="str">
        <f t="shared" ca="1" si="0"/>
        <v>Lebanon</v>
      </c>
      <c r="AF12" s="92" t="str">
        <f t="shared" ca="1" si="0"/>
        <v>Madagascar</v>
      </c>
      <c r="AG12" s="92" t="str">
        <f t="shared" ca="1" si="0"/>
        <v>Mexico</v>
      </c>
      <c r="AH12" s="92" t="str">
        <f t="shared" ca="1" si="0"/>
        <v>Mongolia</v>
      </c>
      <c r="AI12" s="92" t="str">
        <f t="shared" ref="AI12:BE12" ca="1" si="1">INDEX(lu_countries,AI11)</f>
        <v>Morocco</v>
      </c>
      <c r="AJ12" s="92" t="str">
        <f t="shared" ca="1" si="1"/>
        <v>Mozambique</v>
      </c>
      <c r="AK12" s="92" t="str">
        <f t="shared" ca="1" si="1"/>
        <v>Nepal</v>
      </c>
      <c r="AL12" s="92" t="str">
        <f t="shared" ca="1" si="1"/>
        <v>Nicaragua</v>
      </c>
      <c r="AM12" s="92" t="str">
        <f t="shared" ca="1" si="1"/>
        <v>Nigeria</v>
      </c>
      <c r="AN12" s="92" t="str">
        <f t="shared" ca="1" si="1"/>
        <v>Pakistan</v>
      </c>
      <c r="AO12" s="92" t="str">
        <f t="shared" ca="1" si="1"/>
        <v>Panama</v>
      </c>
      <c r="AP12" s="92" t="str">
        <f t="shared" ca="1" si="1"/>
        <v>Paraguay</v>
      </c>
      <c r="AQ12" s="92" t="str">
        <f t="shared" ca="1" si="1"/>
        <v>Peru</v>
      </c>
      <c r="AR12" s="92" t="str">
        <f t="shared" ca="1" si="1"/>
        <v>Philippines</v>
      </c>
      <c r="AS12" s="92" t="str">
        <f t="shared" ca="1" si="1"/>
        <v>Rwanda</v>
      </c>
      <c r="AT12" s="92" t="str">
        <f t="shared" ca="1" si="1"/>
        <v>Senegal</v>
      </c>
      <c r="AU12" s="92" t="str">
        <f t="shared" ca="1" si="1"/>
        <v>Sri Lanka</v>
      </c>
      <c r="AV12" s="92" t="str">
        <f t="shared" ca="1" si="1"/>
        <v>Tajikistan</v>
      </c>
      <c r="AW12" s="92" t="str">
        <f t="shared" ca="1" si="1"/>
        <v>Tanzania</v>
      </c>
      <c r="AX12" s="92" t="str">
        <f t="shared" ca="1" si="1"/>
        <v>Thailand</v>
      </c>
      <c r="AY12" s="92" t="str">
        <f t="shared" ca="1" si="1"/>
        <v>Trinidad and Tobago</v>
      </c>
      <c r="AZ12" s="92" t="str">
        <f t="shared" ca="1" si="1"/>
        <v>Turkey</v>
      </c>
      <c r="BA12" s="92" t="str">
        <f t="shared" ca="1" si="1"/>
        <v>Uganda</v>
      </c>
      <c r="BB12" s="92" t="str">
        <f t="shared" ca="1" si="1"/>
        <v>Uruguay</v>
      </c>
      <c r="BC12" s="92" t="str">
        <f t="shared" ca="1" si="1"/>
        <v>Venezuela</v>
      </c>
      <c r="BD12" s="92" t="str">
        <f t="shared" ca="1" si="1"/>
        <v>Vietnam</v>
      </c>
      <c r="BE12" s="92" t="str">
        <f t="shared" ca="1" si="1"/>
        <v>Yemen</v>
      </c>
    </row>
    <row r="13" spans="1:57">
      <c r="B13" s="92" t="s">
        <v>1100</v>
      </c>
      <c r="C13" s="94">
        <f t="shared" ref="C13:AH13" ca="1" si="2">INDEX(lu_CountryStatus,C11)</f>
        <v>2</v>
      </c>
      <c r="D13" s="94">
        <f t="shared" ca="1" si="2"/>
        <v>2</v>
      </c>
      <c r="E13" s="94">
        <f t="shared" ca="1" si="2"/>
        <v>2</v>
      </c>
      <c r="F13" s="94">
        <f t="shared" ca="1" si="2"/>
        <v>2</v>
      </c>
      <c r="G13" s="94">
        <f t="shared" ca="1" si="2"/>
        <v>2</v>
      </c>
      <c r="H13" s="94">
        <f t="shared" ca="1" si="2"/>
        <v>2</v>
      </c>
      <c r="I13" s="94">
        <f t="shared" ca="1" si="2"/>
        <v>2</v>
      </c>
      <c r="J13" s="94">
        <f t="shared" ca="1" si="2"/>
        <v>2</v>
      </c>
      <c r="K13" s="94">
        <f t="shared" ca="1" si="2"/>
        <v>2</v>
      </c>
      <c r="L13" s="94">
        <f t="shared" ca="1" si="2"/>
        <v>2</v>
      </c>
      <c r="M13" s="94">
        <f t="shared" ca="1" si="2"/>
        <v>2</v>
      </c>
      <c r="N13" s="94">
        <f t="shared" ca="1" si="2"/>
        <v>2</v>
      </c>
      <c r="O13" s="94">
        <f t="shared" ca="1" si="2"/>
        <v>2</v>
      </c>
      <c r="P13" s="94">
        <f t="shared" ca="1" si="2"/>
        <v>2</v>
      </c>
      <c r="Q13" s="94">
        <f t="shared" ca="1" si="2"/>
        <v>2</v>
      </c>
      <c r="R13" s="94">
        <f t="shared" ca="1" si="2"/>
        <v>2</v>
      </c>
      <c r="S13" s="94">
        <f t="shared" ca="1" si="2"/>
        <v>2</v>
      </c>
      <c r="T13" s="94">
        <f t="shared" ca="1" si="2"/>
        <v>2</v>
      </c>
      <c r="U13" s="94">
        <f t="shared" ca="1" si="2"/>
        <v>2</v>
      </c>
      <c r="V13" s="94">
        <f t="shared" ca="1" si="2"/>
        <v>2</v>
      </c>
      <c r="W13" s="94">
        <f t="shared" ca="1" si="2"/>
        <v>2</v>
      </c>
      <c r="X13" s="94">
        <f t="shared" ca="1" si="2"/>
        <v>2</v>
      </c>
      <c r="Y13" s="94">
        <f t="shared" ca="1" si="2"/>
        <v>2</v>
      </c>
      <c r="Z13" s="94">
        <f t="shared" ca="1" si="2"/>
        <v>2</v>
      </c>
      <c r="AA13" s="94">
        <f t="shared" ca="1" si="2"/>
        <v>2</v>
      </c>
      <c r="AB13" s="94">
        <f t="shared" ca="1" si="2"/>
        <v>2</v>
      </c>
      <c r="AC13" s="94">
        <f t="shared" ca="1" si="2"/>
        <v>2</v>
      </c>
      <c r="AD13" s="94">
        <f t="shared" ca="1" si="2"/>
        <v>2</v>
      </c>
      <c r="AE13" s="94">
        <f t="shared" ca="1" si="2"/>
        <v>2</v>
      </c>
      <c r="AF13" s="94">
        <f t="shared" ca="1" si="2"/>
        <v>2</v>
      </c>
      <c r="AG13" s="94">
        <f t="shared" ca="1" si="2"/>
        <v>2</v>
      </c>
      <c r="AH13" s="94">
        <f t="shared" ca="1" si="2"/>
        <v>2</v>
      </c>
      <c r="AI13" s="94">
        <f t="shared" ref="AI13:BE13" ca="1" si="3">INDEX(lu_CountryStatus,AI11)</f>
        <v>2</v>
      </c>
      <c r="AJ13" s="94">
        <f t="shared" ca="1" si="3"/>
        <v>2</v>
      </c>
      <c r="AK13" s="94">
        <f t="shared" ca="1" si="3"/>
        <v>2</v>
      </c>
      <c r="AL13" s="94">
        <f t="shared" ca="1" si="3"/>
        <v>2</v>
      </c>
      <c r="AM13" s="94">
        <f t="shared" ca="1" si="3"/>
        <v>2</v>
      </c>
      <c r="AN13" s="94">
        <f t="shared" ca="1" si="3"/>
        <v>2</v>
      </c>
      <c r="AO13" s="94">
        <f t="shared" ca="1" si="3"/>
        <v>2</v>
      </c>
      <c r="AP13" s="94">
        <f t="shared" ca="1" si="3"/>
        <v>2</v>
      </c>
      <c r="AQ13" s="94">
        <f t="shared" ca="1" si="3"/>
        <v>2</v>
      </c>
      <c r="AR13" s="94">
        <f t="shared" ca="1" si="3"/>
        <v>2</v>
      </c>
      <c r="AS13" s="94">
        <f t="shared" ca="1" si="3"/>
        <v>2</v>
      </c>
      <c r="AT13" s="94">
        <f t="shared" ca="1" si="3"/>
        <v>2</v>
      </c>
      <c r="AU13" s="94">
        <f t="shared" ca="1" si="3"/>
        <v>2</v>
      </c>
      <c r="AV13" s="94">
        <f t="shared" ca="1" si="3"/>
        <v>2</v>
      </c>
      <c r="AW13" s="94">
        <f t="shared" ca="1" si="3"/>
        <v>2</v>
      </c>
      <c r="AX13" s="94">
        <f t="shared" ca="1" si="3"/>
        <v>2</v>
      </c>
      <c r="AY13" s="94">
        <f t="shared" ca="1" si="3"/>
        <v>2</v>
      </c>
      <c r="AZ13" s="94">
        <f t="shared" ca="1" si="3"/>
        <v>2</v>
      </c>
      <c r="BA13" s="94">
        <f t="shared" ca="1" si="3"/>
        <v>2</v>
      </c>
      <c r="BB13" s="94">
        <f t="shared" ca="1" si="3"/>
        <v>2</v>
      </c>
      <c r="BC13" s="94">
        <f t="shared" ca="1" si="3"/>
        <v>2</v>
      </c>
      <c r="BD13" s="94">
        <f t="shared" ca="1" si="3"/>
        <v>2</v>
      </c>
      <c r="BE13" s="94">
        <f t="shared" ca="1" si="3"/>
        <v>2</v>
      </c>
    </row>
    <row r="14" spans="1:57">
      <c r="B14" s="92" t="s">
        <v>1101</v>
      </c>
      <c r="C14" s="94">
        <f t="shared" ref="C14:AH14" ca="1" si="4">INDEX(lu_RegionHighlight,C11)</f>
        <v>1</v>
      </c>
      <c r="D14" s="94">
        <f t="shared" ca="1" si="4"/>
        <v>1</v>
      </c>
      <c r="E14" s="94">
        <f t="shared" ca="1" si="4"/>
        <v>1</v>
      </c>
      <c r="F14" s="94">
        <f t="shared" ca="1" si="4"/>
        <v>1</v>
      </c>
      <c r="G14" s="94">
        <f t="shared" ca="1" si="4"/>
        <v>1</v>
      </c>
      <c r="H14" s="94">
        <f t="shared" ca="1" si="4"/>
        <v>1</v>
      </c>
      <c r="I14" s="94">
        <f t="shared" ca="1" si="4"/>
        <v>1</v>
      </c>
      <c r="J14" s="94">
        <f t="shared" ca="1" si="4"/>
        <v>1</v>
      </c>
      <c r="K14" s="94">
        <f t="shared" ca="1" si="4"/>
        <v>1</v>
      </c>
      <c r="L14" s="94">
        <f t="shared" ca="1" si="4"/>
        <v>1</v>
      </c>
      <c r="M14" s="94">
        <f t="shared" ca="1" si="4"/>
        <v>1</v>
      </c>
      <c r="N14" s="94">
        <f t="shared" ca="1" si="4"/>
        <v>1</v>
      </c>
      <c r="O14" s="94">
        <f t="shared" ca="1" si="4"/>
        <v>1</v>
      </c>
      <c r="P14" s="94">
        <f t="shared" ca="1" si="4"/>
        <v>1</v>
      </c>
      <c r="Q14" s="94">
        <f t="shared" ca="1" si="4"/>
        <v>1</v>
      </c>
      <c r="R14" s="94">
        <f t="shared" ca="1" si="4"/>
        <v>1</v>
      </c>
      <c r="S14" s="94">
        <f t="shared" ca="1" si="4"/>
        <v>1</v>
      </c>
      <c r="T14" s="94">
        <f t="shared" ca="1" si="4"/>
        <v>1</v>
      </c>
      <c r="U14" s="94">
        <f t="shared" ca="1" si="4"/>
        <v>1</v>
      </c>
      <c r="V14" s="94">
        <f t="shared" ca="1" si="4"/>
        <v>1</v>
      </c>
      <c r="W14" s="94">
        <f t="shared" ca="1" si="4"/>
        <v>1</v>
      </c>
      <c r="X14" s="94">
        <f t="shared" ca="1" si="4"/>
        <v>1</v>
      </c>
      <c r="Y14" s="94">
        <f t="shared" ca="1" si="4"/>
        <v>1</v>
      </c>
      <c r="Z14" s="94">
        <f t="shared" ca="1" si="4"/>
        <v>1</v>
      </c>
      <c r="AA14" s="94">
        <f t="shared" ca="1" si="4"/>
        <v>1</v>
      </c>
      <c r="AB14" s="94">
        <f t="shared" ca="1" si="4"/>
        <v>1</v>
      </c>
      <c r="AC14" s="94">
        <f t="shared" ca="1" si="4"/>
        <v>1</v>
      </c>
      <c r="AD14" s="94">
        <f t="shared" ca="1" si="4"/>
        <v>1</v>
      </c>
      <c r="AE14" s="94">
        <f t="shared" ca="1" si="4"/>
        <v>1</v>
      </c>
      <c r="AF14" s="94">
        <f t="shared" ca="1" si="4"/>
        <v>1</v>
      </c>
      <c r="AG14" s="94">
        <f t="shared" ca="1" si="4"/>
        <v>1</v>
      </c>
      <c r="AH14" s="94">
        <f t="shared" ca="1" si="4"/>
        <v>1</v>
      </c>
      <c r="AI14" s="94">
        <f t="shared" ref="AI14:BE14" ca="1" si="5">INDEX(lu_RegionHighlight,AI11)</f>
        <v>1</v>
      </c>
      <c r="AJ14" s="94">
        <f t="shared" ca="1" si="5"/>
        <v>1</v>
      </c>
      <c r="AK14" s="94">
        <f t="shared" ca="1" si="5"/>
        <v>1</v>
      </c>
      <c r="AL14" s="94">
        <f t="shared" ca="1" si="5"/>
        <v>1</v>
      </c>
      <c r="AM14" s="94">
        <f t="shared" ca="1" si="5"/>
        <v>1</v>
      </c>
      <c r="AN14" s="94">
        <f t="shared" ca="1" si="5"/>
        <v>1</v>
      </c>
      <c r="AO14" s="94">
        <f t="shared" ca="1" si="5"/>
        <v>1</v>
      </c>
      <c r="AP14" s="94">
        <f t="shared" ca="1" si="5"/>
        <v>1</v>
      </c>
      <c r="AQ14" s="94">
        <f t="shared" ca="1" si="5"/>
        <v>1</v>
      </c>
      <c r="AR14" s="94">
        <f t="shared" ca="1" si="5"/>
        <v>1</v>
      </c>
      <c r="AS14" s="94">
        <f t="shared" ca="1" si="5"/>
        <v>1</v>
      </c>
      <c r="AT14" s="94">
        <f t="shared" ca="1" si="5"/>
        <v>1</v>
      </c>
      <c r="AU14" s="94">
        <f t="shared" ca="1" si="5"/>
        <v>1</v>
      </c>
      <c r="AV14" s="94">
        <f t="shared" ca="1" si="5"/>
        <v>1</v>
      </c>
      <c r="AW14" s="94">
        <f t="shared" ca="1" si="5"/>
        <v>1</v>
      </c>
      <c r="AX14" s="94">
        <f t="shared" ca="1" si="5"/>
        <v>1</v>
      </c>
      <c r="AY14" s="94">
        <f t="shared" ca="1" si="5"/>
        <v>1</v>
      </c>
      <c r="AZ14" s="94">
        <f t="shared" ca="1" si="5"/>
        <v>1</v>
      </c>
      <c r="BA14" s="94">
        <f t="shared" ca="1" si="5"/>
        <v>1</v>
      </c>
      <c r="BB14" s="94">
        <f t="shared" ca="1" si="5"/>
        <v>1</v>
      </c>
      <c r="BC14" s="94">
        <f t="shared" ca="1" si="5"/>
        <v>1</v>
      </c>
      <c r="BD14" s="94">
        <f t="shared" ca="1" si="5"/>
        <v>1</v>
      </c>
      <c r="BE14" s="94">
        <f t="shared" ca="1" si="5"/>
        <v>1</v>
      </c>
    </row>
    <row r="15" spans="1:57">
      <c r="A15" s="93" t="s">
        <v>1102</v>
      </c>
      <c r="B15" s="92">
        <f>B2</f>
        <v>1</v>
      </c>
      <c r="C15" s="95">
        <f t="shared" ref="C15:L16" ca="1" si="6">IF(C$13=0,NA(),INDEX(norm_data,$B15,C$11))</f>
        <v>30.8</v>
      </c>
      <c r="D15" s="95">
        <f t="shared" ca="1" si="6"/>
        <v>43.9</v>
      </c>
      <c r="E15" s="95">
        <f t="shared" ca="1" si="6"/>
        <v>29</v>
      </c>
      <c r="F15" s="95">
        <f t="shared" ca="1" si="6"/>
        <v>42.7</v>
      </c>
      <c r="G15" s="95">
        <f t="shared" ca="1" si="6"/>
        <v>71.7</v>
      </c>
      <c r="H15" s="95">
        <f t="shared" ca="1" si="6"/>
        <v>43.1</v>
      </c>
      <c r="I15" s="95">
        <f t="shared" ca="1" si="6"/>
        <v>44</v>
      </c>
      <c r="J15" s="95">
        <f t="shared" ca="1" si="6"/>
        <v>54.1</v>
      </c>
      <c r="K15" s="95">
        <f t="shared" ca="1" si="6"/>
        <v>31.6</v>
      </c>
      <c r="L15" s="95">
        <f t="shared" ca="1" si="6"/>
        <v>48</v>
      </c>
      <c r="M15" s="95">
        <f t="shared" ref="M15:V16" ca="1" si="7">IF(M$13=0,NA(),INDEX(norm_data,$B15,M$11))</f>
        <v>34.1</v>
      </c>
      <c r="N15" s="95">
        <f t="shared" ca="1" si="7"/>
        <v>58.6</v>
      </c>
      <c r="O15" s="95">
        <f t="shared" ca="1" si="7"/>
        <v>42.5</v>
      </c>
      <c r="P15" s="95">
        <f t="shared" ca="1" si="7"/>
        <v>47</v>
      </c>
      <c r="Q15" s="95">
        <f t="shared" ca="1" si="7"/>
        <v>36.799999999999997</v>
      </c>
      <c r="R15" s="95">
        <f t="shared" ca="1" si="7"/>
        <v>59.7</v>
      </c>
      <c r="S15" s="95">
        <f t="shared" ca="1" si="7"/>
        <v>57.5</v>
      </c>
      <c r="T15" s="95">
        <f t="shared" ca="1" si="7"/>
        <v>31.3</v>
      </c>
      <c r="U15" s="95">
        <f t="shared" ca="1" si="7"/>
        <v>45.1</v>
      </c>
      <c r="V15" s="95">
        <f t="shared" ca="1" si="7"/>
        <v>60.9</v>
      </c>
      <c r="W15" s="95">
        <f t="shared" ref="W15:AF16" ca="1" si="8">IF(W$13=0,NA(),INDEX(norm_data,$B15,W$11))</f>
        <v>51.8</v>
      </c>
      <c r="X15" s="95">
        <f t="shared" ca="1" si="8"/>
        <v>33.4</v>
      </c>
      <c r="Y15" s="95">
        <f t="shared" ca="1" si="8"/>
        <v>49.3</v>
      </c>
      <c r="Z15" s="95">
        <f t="shared" ca="1" si="8"/>
        <v>62.1</v>
      </c>
      <c r="AA15" s="95">
        <f t="shared" ca="1" si="8"/>
        <v>35.200000000000003</v>
      </c>
      <c r="AB15" s="95">
        <f t="shared" ca="1" si="8"/>
        <v>23.7</v>
      </c>
      <c r="AC15" s="95">
        <f t="shared" ca="1" si="8"/>
        <v>55.8</v>
      </c>
      <c r="AD15" s="95">
        <f t="shared" ca="1" si="8"/>
        <v>56.2</v>
      </c>
      <c r="AE15" s="95">
        <f t="shared" ca="1" si="8"/>
        <v>29.3</v>
      </c>
      <c r="AF15" s="95">
        <f t="shared" ca="1" si="8"/>
        <v>32.299999999999997</v>
      </c>
      <c r="AG15" s="95">
        <f t="shared" ref="AG15:AP16" ca="1" si="9">IF(AG$13=0,NA(),INDEX(norm_data,$B15,AG$11))</f>
        <v>47.3</v>
      </c>
      <c r="AH15" s="95">
        <f t="shared" ca="1" si="9"/>
        <v>30</v>
      </c>
      <c r="AI15" s="95">
        <f t="shared" ca="1" si="9"/>
        <v>30.3</v>
      </c>
      <c r="AJ15" s="95">
        <f t="shared" ca="1" si="9"/>
        <v>40.299999999999997</v>
      </c>
      <c r="AK15" s="95">
        <f t="shared" ca="1" si="9"/>
        <v>30</v>
      </c>
      <c r="AL15" s="95">
        <f t="shared" ca="1" si="9"/>
        <v>58.7</v>
      </c>
      <c r="AM15" s="95">
        <f t="shared" ca="1" si="9"/>
        <v>39.4</v>
      </c>
      <c r="AN15" s="95">
        <f t="shared" ca="1" si="9"/>
        <v>56.5</v>
      </c>
      <c r="AO15" s="95">
        <f t="shared" ca="1" si="9"/>
        <v>50.9</v>
      </c>
      <c r="AP15" s="95">
        <f t="shared" ca="1" si="9"/>
        <v>49.5</v>
      </c>
      <c r="AQ15" s="95">
        <f t="shared" ref="AQ15:BE16" ca="1" si="10">IF(AQ$13=0,NA(),INDEX(norm_data,$B15,AQ$11))</f>
        <v>73.8</v>
      </c>
      <c r="AR15" s="95">
        <f t="shared" ca="1" si="10"/>
        <v>68.400000000000006</v>
      </c>
      <c r="AS15" s="95">
        <f t="shared" ca="1" si="10"/>
        <v>38.6</v>
      </c>
      <c r="AT15" s="95">
        <f t="shared" ca="1" si="10"/>
        <v>32.6</v>
      </c>
      <c r="AU15" s="95">
        <f t="shared" ca="1" si="10"/>
        <v>40.4</v>
      </c>
      <c r="AV15" s="95">
        <f t="shared" ca="1" si="10"/>
        <v>40.4</v>
      </c>
      <c r="AW15" s="95">
        <f t="shared" ca="1" si="10"/>
        <v>48.4</v>
      </c>
      <c r="AX15" s="95">
        <f t="shared" ca="1" si="10"/>
        <v>21.2</v>
      </c>
      <c r="AY15" s="95">
        <f t="shared" ca="1" si="10"/>
        <v>22.9</v>
      </c>
      <c r="AZ15" s="95">
        <f t="shared" ca="1" si="10"/>
        <v>30.3</v>
      </c>
      <c r="BA15" s="95">
        <f t="shared" ca="1" si="10"/>
        <v>57.5</v>
      </c>
      <c r="BB15" s="95">
        <f t="shared" ca="1" si="10"/>
        <v>28.4</v>
      </c>
      <c r="BC15" s="95">
        <f t="shared" ca="1" si="10"/>
        <v>24.1</v>
      </c>
      <c r="BD15" s="95">
        <f t="shared" ca="1" si="10"/>
        <v>21.6</v>
      </c>
      <c r="BE15" s="95">
        <f t="shared" ca="1" si="10"/>
        <v>42.1</v>
      </c>
    </row>
    <row r="16" spans="1:57">
      <c r="A16" s="93" t="s">
        <v>1103</v>
      </c>
      <c r="B16" s="92">
        <f>B3</f>
        <v>26</v>
      </c>
      <c r="C16" s="95">
        <f t="shared" ca="1" si="6"/>
        <v>1.2815557184120232</v>
      </c>
      <c r="D16" s="95" t="e">
        <f t="shared" ca="1" si="6"/>
        <v>#N/A</v>
      </c>
      <c r="E16" s="95" t="e">
        <f t="shared" ca="1" si="6"/>
        <v>#N/A</v>
      </c>
      <c r="F16" s="95" t="e">
        <f t="shared" ca="1" si="6"/>
        <v>#N/A</v>
      </c>
      <c r="G16" s="95">
        <f t="shared" ca="1" si="6"/>
        <v>44.625449447924396</v>
      </c>
      <c r="H16" s="95" t="e">
        <f t="shared" ca="1" si="6"/>
        <v>#N/A</v>
      </c>
      <c r="I16" s="95">
        <f t="shared" ca="1" si="6"/>
        <v>2.8750621210881939</v>
      </c>
      <c r="J16" s="95" t="e">
        <f t="shared" ca="1" si="6"/>
        <v>#N/A</v>
      </c>
      <c r="K16" s="95" t="e">
        <f t="shared" ca="1" si="6"/>
        <v>#N/A</v>
      </c>
      <c r="L16" s="95">
        <f t="shared" ca="1" si="6"/>
        <v>13.88282130419311</v>
      </c>
      <c r="M16" s="95" t="e">
        <f t="shared" ca="1" si="7"/>
        <v>#N/A</v>
      </c>
      <c r="N16" s="95">
        <f t="shared" ca="1" si="7"/>
        <v>11.591768668724008</v>
      </c>
      <c r="O16" s="95">
        <f t="shared" ca="1" si="7"/>
        <v>15.8781491337601</v>
      </c>
      <c r="P16" s="95">
        <f t="shared" ca="1" si="7"/>
        <v>15.573619738159342</v>
      </c>
      <c r="Q16" s="95" t="e">
        <f t="shared" ca="1" si="7"/>
        <v>#N/A</v>
      </c>
      <c r="R16" s="95">
        <f t="shared" ca="1" si="7"/>
        <v>47.48838045137019</v>
      </c>
      <c r="S16" s="95">
        <f t="shared" ca="1" si="7"/>
        <v>35.793202436844965</v>
      </c>
      <c r="T16" s="95" t="e">
        <f t="shared" ca="1" si="7"/>
        <v>#N/A</v>
      </c>
      <c r="U16" s="95" t="e">
        <f t="shared" ca="1" si="7"/>
        <v>#N/A</v>
      </c>
      <c r="V16" s="95" t="e">
        <f t="shared" ca="1" si="7"/>
        <v>#N/A</v>
      </c>
      <c r="W16" s="95">
        <f t="shared" ca="1" si="8"/>
        <v>21.012528724627639</v>
      </c>
      <c r="X16" s="95" t="e">
        <f t="shared" ca="1" si="8"/>
        <v>#N/A</v>
      </c>
      <c r="Y16" s="95">
        <f t="shared" ca="1" si="8"/>
        <v>17.811886880880195</v>
      </c>
      <c r="Z16" s="95" t="e">
        <f t="shared" ca="1" si="8"/>
        <v>#N/A</v>
      </c>
      <c r="AA16" s="95" t="e">
        <f t="shared" ca="1" si="8"/>
        <v>#N/A</v>
      </c>
      <c r="AB16" s="95" t="e">
        <f t="shared" ca="1" si="8"/>
        <v>#N/A</v>
      </c>
      <c r="AC16" s="95" t="e">
        <f t="shared" ca="1" si="8"/>
        <v>#N/A</v>
      </c>
      <c r="AD16" s="95" t="e">
        <f t="shared" ca="1" si="8"/>
        <v>#N/A</v>
      </c>
      <c r="AE16" s="95" t="e">
        <f t="shared" ca="1" si="8"/>
        <v>#N/A</v>
      </c>
      <c r="AF16" s="95" t="e">
        <f t="shared" ca="1" si="8"/>
        <v>#N/A</v>
      </c>
      <c r="AG16" s="95">
        <f t="shared" ca="1" si="9"/>
        <v>17.446465245547422</v>
      </c>
      <c r="AH16" s="95" t="e">
        <f t="shared" ca="1" si="9"/>
        <v>#N/A</v>
      </c>
      <c r="AI16" s="95" t="e">
        <f t="shared" ca="1" si="9"/>
        <v>#N/A</v>
      </c>
      <c r="AJ16" s="95" t="e">
        <f t="shared" ca="1" si="9"/>
        <v>#N/A</v>
      </c>
      <c r="AK16" s="95" t="e">
        <f t="shared" ca="1" si="9"/>
        <v>#N/A</v>
      </c>
      <c r="AL16" s="95">
        <f t="shared" ca="1" si="9"/>
        <v>58.715065084093169</v>
      </c>
      <c r="AM16" s="95" t="e">
        <f t="shared" ca="1" si="9"/>
        <v>#N/A</v>
      </c>
      <c r="AN16" s="95" t="e">
        <f t="shared" ca="1" si="9"/>
        <v>#N/A</v>
      </c>
      <c r="AO16" s="95">
        <f t="shared" ca="1" si="9"/>
        <v>4.9016220366637873</v>
      </c>
      <c r="AP16" s="95">
        <f t="shared" ca="1" si="9"/>
        <v>17.788631651236457</v>
      </c>
      <c r="AQ16" s="95">
        <f t="shared" ca="1" si="10"/>
        <v>31.25358565943796</v>
      </c>
      <c r="AR16" s="95" t="e">
        <f t="shared" ca="1" si="10"/>
        <v>#N/A</v>
      </c>
      <c r="AS16" s="95" t="e">
        <f t="shared" ca="1" si="10"/>
        <v>#N/A</v>
      </c>
      <c r="AT16" s="95" t="e">
        <f t="shared" ca="1" si="10"/>
        <v>#N/A</v>
      </c>
      <c r="AU16" s="95" t="e">
        <f t="shared" ca="1" si="10"/>
        <v>#N/A</v>
      </c>
      <c r="AV16" s="95" t="e">
        <f t="shared" ca="1" si="10"/>
        <v>#N/A</v>
      </c>
      <c r="AW16" s="95" t="e">
        <f t="shared" ca="1" si="10"/>
        <v>#N/A</v>
      </c>
      <c r="AX16" s="95" t="e">
        <f t="shared" ca="1" si="10"/>
        <v>#N/A</v>
      </c>
      <c r="AY16" s="95" t="e">
        <f t="shared" ca="1" si="10"/>
        <v>#N/A</v>
      </c>
      <c r="AZ16" s="95" t="e">
        <f t="shared" ca="1" si="10"/>
        <v>#N/A</v>
      </c>
      <c r="BA16" s="95" t="e">
        <f t="shared" ca="1" si="10"/>
        <v>#N/A</v>
      </c>
      <c r="BB16" s="95">
        <f t="shared" ca="1" si="10"/>
        <v>2.5682215463084912</v>
      </c>
      <c r="BC16" s="95">
        <f t="shared" ca="1" si="10"/>
        <v>1.3584964058778015</v>
      </c>
      <c r="BD16" s="95" t="e">
        <f t="shared" ca="1" si="10"/>
        <v>#N/A</v>
      </c>
      <c r="BE16" s="95" t="e">
        <f t="shared" ca="1" si="10"/>
        <v>#N/A</v>
      </c>
    </row>
    <row r="18" spans="1:57">
      <c r="C18" s="96">
        <f t="shared" ref="C18:AH18" ca="1" si="11">IF(ISERROR(C15),"",C15)</f>
        <v>30.8</v>
      </c>
      <c r="D18" s="96">
        <f t="shared" ca="1" si="11"/>
        <v>43.9</v>
      </c>
      <c r="E18" s="96">
        <f t="shared" ca="1" si="11"/>
        <v>29</v>
      </c>
      <c r="F18" s="96">
        <f t="shared" ca="1" si="11"/>
        <v>42.7</v>
      </c>
      <c r="G18" s="96">
        <f t="shared" ca="1" si="11"/>
        <v>71.7</v>
      </c>
      <c r="H18" s="96">
        <f t="shared" ca="1" si="11"/>
        <v>43.1</v>
      </c>
      <c r="I18" s="96">
        <f t="shared" ca="1" si="11"/>
        <v>44</v>
      </c>
      <c r="J18" s="96">
        <f t="shared" ca="1" si="11"/>
        <v>54.1</v>
      </c>
      <c r="K18" s="96">
        <f t="shared" ca="1" si="11"/>
        <v>31.6</v>
      </c>
      <c r="L18" s="96">
        <f t="shared" ca="1" si="11"/>
        <v>48</v>
      </c>
      <c r="M18" s="96">
        <f t="shared" ca="1" si="11"/>
        <v>34.1</v>
      </c>
      <c r="N18" s="96">
        <f t="shared" ca="1" si="11"/>
        <v>58.6</v>
      </c>
      <c r="O18" s="96">
        <f t="shared" ca="1" si="11"/>
        <v>42.5</v>
      </c>
      <c r="P18" s="96">
        <f t="shared" ca="1" si="11"/>
        <v>47</v>
      </c>
      <c r="Q18" s="96">
        <f t="shared" ca="1" si="11"/>
        <v>36.799999999999997</v>
      </c>
      <c r="R18" s="96">
        <f t="shared" ca="1" si="11"/>
        <v>59.7</v>
      </c>
      <c r="S18" s="96">
        <f t="shared" ca="1" si="11"/>
        <v>57.5</v>
      </c>
      <c r="T18" s="96">
        <f t="shared" ca="1" si="11"/>
        <v>31.3</v>
      </c>
      <c r="U18" s="96">
        <f t="shared" ca="1" si="11"/>
        <v>45.1</v>
      </c>
      <c r="V18" s="96">
        <f t="shared" ca="1" si="11"/>
        <v>60.9</v>
      </c>
      <c r="W18" s="96">
        <f t="shared" ca="1" si="11"/>
        <v>51.8</v>
      </c>
      <c r="X18" s="96">
        <f t="shared" ca="1" si="11"/>
        <v>33.4</v>
      </c>
      <c r="Y18" s="96">
        <f t="shared" ca="1" si="11"/>
        <v>49.3</v>
      </c>
      <c r="Z18" s="96">
        <f t="shared" ca="1" si="11"/>
        <v>62.1</v>
      </c>
      <c r="AA18" s="96">
        <f t="shared" ca="1" si="11"/>
        <v>35.200000000000003</v>
      </c>
      <c r="AB18" s="96">
        <f t="shared" ca="1" si="11"/>
        <v>23.7</v>
      </c>
      <c r="AC18" s="96">
        <f t="shared" ca="1" si="11"/>
        <v>55.8</v>
      </c>
      <c r="AD18" s="96">
        <f t="shared" ca="1" si="11"/>
        <v>56.2</v>
      </c>
      <c r="AE18" s="96">
        <f t="shared" ca="1" si="11"/>
        <v>29.3</v>
      </c>
      <c r="AF18" s="96">
        <f t="shared" ca="1" si="11"/>
        <v>32.299999999999997</v>
      </c>
      <c r="AG18" s="96">
        <f t="shared" ca="1" si="11"/>
        <v>47.3</v>
      </c>
      <c r="AH18" s="96">
        <f t="shared" ca="1" si="11"/>
        <v>30</v>
      </c>
      <c r="AI18" s="96">
        <f t="shared" ref="AI18:BE18" ca="1" si="12">IF(ISERROR(AI15),"",AI15)</f>
        <v>30.3</v>
      </c>
      <c r="AJ18" s="96">
        <f t="shared" ca="1" si="12"/>
        <v>40.299999999999997</v>
      </c>
      <c r="AK18" s="96">
        <f t="shared" ca="1" si="12"/>
        <v>30</v>
      </c>
      <c r="AL18" s="96">
        <f t="shared" ca="1" si="12"/>
        <v>58.7</v>
      </c>
      <c r="AM18" s="96">
        <f t="shared" ca="1" si="12"/>
        <v>39.4</v>
      </c>
      <c r="AN18" s="96">
        <f t="shared" ca="1" si="12"/>
        <v>56.5</v>
      </c>
      <c r="AO18" s="96">
        <f t="shared" ca="1" si="12"/>
        <v>50.9</v>
      </c>
      <c r="AP18" s="96">
        <f t="shared" ca="1" si="12"/>
        <v>49.5</v>
      </c>
      <c r="AQ18" s="96">
        <f t="shared" ca="1" si="12"/>
        <v>73.8</v>
      </c>
      <c r="AR18" s="96">
        <f t="shared" ca="1" si="12"/>
        <v>68.400000000000006</v>
      </c>
      <c r="AS18" s="96">
        <f t="shared" ca="1" si="12"/>
        <v>38.6</v>
      </c>
      <c r="AT18" s="96">
        <f t="shared" ca="1" si="12"/>
        <v>32.6</v>
      </c>
      <c r="AU18" s="96">
        <f t="shared" ca="1" si="12"/>
        <v>40.4</v>
      </c>
      <c r="AV18" s="96">
        <f t="shared" ca="1" si="12"/>
        <v>40.4</v>
      </c>
      <c r="AW18" s="96">
        <f t="shared" ca="1" si="12"/>
        <v>48.4</v>
      </c>
      <c r="AX18" s="96">
        <f t="shared" ca="1" si="12"/>
        <v>21.2</v>
      </c>
      <c r="AY18" s="96">
        <f t="shared" ca="1" si="12"/>
        <v>22.9</v>
      </c>
      <c r="AZ18" s="96">
        <f t="shared" ca="1" si="12"/>
        <v>30.3</v>
      </c>
      <c r="BA18" s="96">
        <f t="shared" ca="1" si="12"/>
        <v>57.5</v>
      </c>
      <c r="BB18" s="96">
        <f t="shared" ca="1" si="12"/>
        <v>28.4</v>
      </c>
      <c r="BC18" s="96">
        <f t="shared" ca="1" si="12"/>
        <v>24.1</v>
      </c>
      <c r="BD18" s="96">
        <f t="shared" ca="1" si="12"/>
        <v>21.6</v>
      </c>
      <c r="BE18" s="96">
        <f t="shared" ca="1" si="12"/>
        <v>42.1</v>
      </c>
    </row>
    <row r="19" spans="1:57">
      <c r="C19" s="96">
        <f t="shared" ref="C19:AH19" ca="1" si="13">IF(ISERROR(C16),"",C16)</f>
        <v>1.2815557184120232</v>
      </c>
      <c r="D19" s="96" t="str">
        <f t="shared" ca="1" si="13"/>
        <v/>
      </c>
      <c r="E19" s="96" t="str">
        <f t="shared" ca="1" si="13"/>
        <v/>
      </c>
      <c r="F19" s="96" t="str">
        <f t="shared" ca="1" si="13"/>
        <v/>
      </c>
      <c r="G19" s="96">
        <f t="shared" ca="1" si="13"/>
        <v>44.625449447924396</v>
      </c>
      <c r="H19" s="96" t="str">
        <f t="shared" ca="1" si="13"/>
        <v/>
      </c>
      <c r="I19" s="96">
        <f t="shared" ca="1" si="13"/>
        <v>2.8750621210881939</v>
      </c>
      <c r="J19" s="96" t="str">
        <f t="shared" ca="1" si="13"/>
        <v/>
      </c>
      <c r="K19" s="96" t="str">
        <f t="shared" ca="1" si="13"/>
        <v/>
      </c>
      <c r="L19" s="96">
        <f t="shared" ca="1" si="13"/>
        <v>13.88282130419311</v>
      </c>
      <c r="M19" s="96" t="str">
        <f t="shared" ca="1" si="13"/>
        <v/>
      </c>
      <c r="N19" s="96">
        <f t="shared" ca="1" si="13"/>
        <v>11.591768668724008</v>
      </c>
      <c r="O19" s="96">
        <f t="shared" ca="1" si="13"/>
        <v>15.8781491337601</v>
      </c>
      <c r="P19" s="96">
        <f t="shared" ca="1" si="13"/>
        <v>15.573619738159342</v>
      </c>
      <c r="Q19" s="96" t="str">
        <f t="shared" ca="1" si="13"/>
        <v/>
      </c>
      <c r="R19" s="96">
        <f t="shared" ca="1" si="13"/>
        <v>47.48838045137019</v>
      </c>
      <c r="S19" s="96">
        <f t="shared" ca="1" si="13"/>
        <v>35.793202436844965</v>
      </c>
      <c r="T19" s="96" t="str">
        <f t="shared" ca="1" si="13"/>
        <v/>
      </c>
      <c r="U19" s="96" t="str">
        <f t="shared" ca="1" si="13"/>
        <v/>
      </c>
      <c r="V19" s="96" t="str">
        <f t="shared" ca="1" si="13"/>
        <v/>
      </c>
      <c r="W19" s="96">
        <f t="shared" ca="1" si="13"/>
        <v>21.012528724627639</v>
      </c>
      <c r="X19" s="96" t="str">
        <f t="shared" ca="1" si="13"/>
        <v/>
      </c>
      <c r="Y19" s="96">
        <f t="shared" ca="1" si="13"/>
        <v>17.811886880880195</v>
      </c>
      <c r="Z19" s="96" t="str">
        <f t="shared" ca="1" si="13"/>
        <v/>
      </c>
      <c r="AA19" s="96" t="str">
        <f t="shared" ca="1" si="13"/>
        <v/>
      </c>
      <c r="AB19" s="96" t="str">
        <f t="shared" ca="1" si="13"/>
        <v/>
      </c>
      <c r="AC19" s="96" t="str">
        <f t="shared" ca="1" si="13"/>
        <v/>
      </c>
      <c r="AD19" s="96" t="str">
        <f t="shared" ca="1" si="13"/>
        <v/>
      </c>
      <c r="AE19" s="96" t="str">
        <f t="shared" ca="1" si="13"/>
        <v/>
      </c>
      <c r="AF19" s="96" t="str">
        <f t="shared" ca="1" si="13"/>
        <v/>
      </c>
      <c r="AG19" s="96">
        <f t="shared" ca="1" si="13"/>
        <v>17.446465245547422</v>
      </c>
      <c r="AH19" s="96" t="str">
        <f t="shared" ca="1" si="13"/>
        <v/>
      </c>
      <c r="AI19" s="96" t="str">
        <f t="shared" ref="AI19:BE19" ca="1" si="14">IF(ISERROR(AI16),"",AI16)</f>
        <v/>
      </c>
      <c r="AJ19" s="96" t="str">
        <f t="shared" ca="1" si="14"/>
        <v/>
      </c>
      <c r="AK19" s="96" t="str">
        <f t="shared" ca="1" si="14"/>
        <v/>
      </c>
      <c r="AL19" s="96">
        <f t="shared" ca="1" si="14"/>
        <v>58.715065084093169</v>
      </c>
      <c r="AM19" s="96" t="str">
        <f t="shared" ca="1" si="14"/>
        <v/>
      </c>
      <c r="AN19" s="96" t="str">
        <f t="shared" ca="1" si="14"/>
        <v/>
      </c>
      <c r="AO19" s="96">
        <f t="shared" ca="1" si="14"/>
        <v>4.9016220366637873</v>
      </c>
      <c r="AP19" s="96">
        <f t="shared" ca="1" si="14"/>
        <v>17.788631651236457</v>
      </c>
      <c r="AQ19" s="96">
        <f t="shared" ca="1" si="14"/>
        <v>31.25358565943796</v>
      </c>
      <c r="AR19" s="96" t="str">
        <f t="shared" ca="1" si="14"/>
        <v/>
      </c>
      <c r="AS19" s="96" t="str">
        <f t="shared" ca="1" si="14"/>
        <v/>
      </c>
      <c r="AT19" s="96" t="str">
        <f t="shared" ca="1" si="14"/>
        <v/>
      </c>
      <c r="AU19" s="96" t="str">
        <f t="shared" ca="1" si="14"/>
        <v/>
      </c>
      <c r="AV19" s="96" t="str">
        <f t="shared" ca="1" si="14"/>
        <v/>
      </c>
      <c r="AW19" s="96" t="str">
        <f t="shared" ca="1" si="14"/>
        <v/>
      </c>
      <c r="AX19" s="96" t="str">
        <f t="shared" ca="1" si="14"/>
        <v/>
      </c>
      <c r="AY19" s="96" t="str">
        <f t="shared" ca="1" si="14"/>
        <v/>
      </c>
      <c r="AZ19" s="96" t="str">
        <f t="shared" ca="1" si="14"/>
        <v/>
      </c>
      <c r="BA19" s="96" t="str">
        <f t="shared" ca="1" si="14"/>
        <v/>
      </c>
      <c r="BB19" s="96">
        <f t="shared" ca="1" si="14"/>
        <v>2.5682215463084912</v>
      </c>
      <c r="BC19" s="96">
        <f t="shared" ca="1" si="14"/>
        <v>1.3584964058778015</v>
      </c>
      <c r="BD19" s="96" t="str">
        <f t="shared" ca="1" si="14"/>
        <v/>
      </c>
      <c r="BE19" s="96" t="str">
        <f t="shared" ca="1" si="14"/>
        <v/>
      </c>
    </row>
    <row r="20" spans="1:57">
      <c r="B20" s="93" t="s">
        <v>1104</v>
      </c>
      <c r="C20" s="97">
        <f ca="1">SLOPE(C19:BE19,C18:BE18)</f>
        <v>0.95597417493424386</v>
      </c>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57">
      <c r="B21" s="93" t="s">
        <v>1105</v>
      </c>
      <c r="C21" s="97">
        <f ca="1">INTERCEPT(C19:BE19,C18:BE18)</f>
        <v>-27.35622280367172</v>
      </c>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row>
    <row r="22" spans="1:57">
      <c r="B22" s="93" t="s">
        <v>1106</v>
      </c>
      <c r="C22" s="97">
        <f ca="1">CORREL(C19:BE19,C18:BE18)</f>
        <v>0.74116964843393573</v>
      </c>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row>
    <row r="23" spans="1:57">
      <c r="B23" s="93"/>
    </row>
    <row r="24" spans="1:57">
      <c r="A24" s="98" t="s">
        <v>1107</v>
      </c>
      <c r="B24" s="93"/>
    </row>
    <row r="25" spans="1:57">
      <c r="B25" s="93" t="s">
        <v>1108</v>
      </c>
      <c r="C25" s="96">
        <f t="shared" ref="C25:AH25" ca="1" si="15">IF(ISERROR(C15),"",(C15*$C$20)+$C$21)</f>
        <v>2.0877817843029902</v>
      </c>
      <c r="D25" s="96">
        <f t="shared" ca="1" si="15"/>
        <v>14.611043475941585</v>
      </c>
      <c r="E25" s="96">
        <f t="shared" ca="1" si="15"/>
        <v>0.36702826942135047</v>
      </c>
      <c r="F25" s="96">
        <f t="shared" ca="1" si="15"/>
        <v>13.463874466020492</v>
      </c>
      <c r="G25" s="96">
        <f t="shared" ca="1" si="15"/>
        <v>41.187125539113573</v>
      </c>
      <c r="H25" s="96">
        <f t="shared" ca="1" si="15"/>
        <v>13.84626413599419</v>
      </c>
      <c r="I25" s="96">
        <f t="shared" ca="1" si="15"/>
        <v>14.706640893435008</v>
      </c>
      <c r="J25" s="96">
        <f t="shared" ca="1" si="15"/>
        <v>24.361980060270874</v>
      </c>
      <c r="K25" s="96">
        <f t="shared" ca="1" si="15"/>
        <v>2.8525611242503857</v>
      </c>
      <c r="L25" s="96">
        <f t="shared" ca="1" si="15"/>
        <v>18.530537593171985</v>
      </c>
      <c r="M25" s="96">
        <f t="shared" ca="1" si="15"/>
        <v>5.2424965615859946</v>
      </c>
      <c r="N25" s="96">
        <f t="shared" ca="1" si="15"/>
        <v>28.663863847474971</v>
      </c>
      <c r="O25" s="96">
        <f t="shared" ca="1" si="15"/>
        <v>13.272679631033647</v>
      </c>
      <c r="P25" s="96">
        <f t="shared" ca="1" si="15"/>
        <v>17.574563418237744</v>
      </c>
      <c r="Q25" s="96">
        <f t="shared" ca="1" si="15"/>
        <v>7.8236268339084489</v>
      </c>
      <c r="R25" s="96">
        <f t="shared" ca="1" si="15"/>
        <v>29.715435439902642</v>
      </c>
      <c r="S25" s="96">
        <f t="shared" ca="1" si="15"/>
        <v>27.612292255047301</v>
      </c>
      <c r="T25" s="96">
        <f t="shared" ca="1" si="15"/>
        <v>2.5657688717701141</v>
      </c>
      <c r="U25" s="96">
        <f t="shared" ca="1" si="15"/>
        <v>15.758212485862678</v>
      </c>
      <c r="V25" s="96">
        <f t="shared" ca="1" si="15"/>
        <v>30.862604449823728</v>
      </c>
      <c r="W25" s="96">
        <f t="shared" ca="1" si="15"/>
        <v>22.16323945792211</v>
      </c>
      <c r="X25" s="96">
        <f t="shared" ca="1" si="15"/>
        <v>4.5733146391320219</v>
      </c>
      <c r="Y25" s="96">
        <f t="shared" ca="1" si="15"/>
        <v>19.773304020586501</v>
      </c>
      <c r="Z25" s="96">
        <f t="shared" ca="1" si="15"/>
        <v>32.009773459744828</v>
      </c>
      <c r="AA25" s="96">
        <f t="shared" ca="1" si="15"/>
        <v>6.2940681540136652</v>
      </c>
      <c r="AB25" s="96">
        <f t="shared" ca="1" si="15"/>
        <v>-4.6996348577301426</v>
      </c>
      <c r="AC25" s="96">
        <f t="shared" ca="1" si="15"/>
        <v>25.987136157659087</v>
      </c>
      <c r="AD25" s="96">
        <f t="shared" ca="1" si="15"/>
        <v>26.369525827632785</v>
      </c>
      <c r="AE25" s="96">
        <f t="shared" ca="1" si="15"/>
        <v>0.65382052190162554</v>
      </c>
      <c r="AF25" s="96">
        <f t="shared" ca="1" si="15"/>
        <v>3.5217430467043549</v>
      </c>
      <c r="AG25" s="96">
        <f t="shared" ca="1" si="15"/>
        <v>17.861355670718012</v>
      </c>
      <c r="AH25" s="96">
        <f t="shared" ca="1" si="15"/>
        <v>1.3230024443555948</v>
      </c>
      <c r="AI25" s="96">
        <f t="shared" ref="AI25:BE25" ca="1" si="16">IF(ISERROR(AI15),"",(AI15*$C$20)+$C$21)</f>
        <v>1.6097946968358698</v>
      </c>
      <c r="AJ25" s="96">
        <f t="shared" ca="1" si="16"/>
        <v>11.169536446178306</v>
      </c>
      <c r="AK25" s="96">
        <f t="shared" ca="1" si="16"/>
        <v>1.3230024443555948</v>
      </c>
      <c r="AL25" s="96">
        <f t="shared" ca="1" si="16"/>
        <v>28.759461264968394</v>
      </c>
      <c r="AM25" s="96">
        <f t="shared" ca="1" si="16"/>
        <v>10.309159688737488</v>
      </c>
      <c r="AN25" s="96">
        <f t="shared" ca="1" si="16"/>
        <v>26.65631808011306</v>
      </c>
      <c r="AO25" s="96">
        <f t="shared" ca="1" si="16"/>
        <v>21.302862700481292</v>
      </c>
      <c r="AP25" s="96">
        <f t="shared" ca="1" si="16"/>
        <v>19.964498855573353</v>
      </c>
      <c r="AQ25" s="96">
        <f t="shared" ca="1" si="16"/>
        <v>43.194671306475477</v>
      </c>
      <c r="AR25" s="96">
        <f t="shared" ca="1" si="16"/>
        <v>38.032410761830569</v>
      </c>
      <c r="AS25" s="96">
        <f t="shared" ca="1" si="16"/>
        <v>9.5443803487900922</v>
      </c>
      <c r="AT25" s="96">
        <f t="shared" ca="1" si="16"/>
        <v>3.80853529918463</v>
      </c>
      <c r="AU25" s="96">
        <f t="shared" ca="1" si="16"/>
        <v>11.265133863671728</v>
      </c>
      <c r="AV25" s="96">
        <f t="shared" ca="1" si="16"/>
        <v>11.265133863671728</v>
      </c>
      <c r="AW25" s="96">
        <f t="shared" ca="1" si="16"/>
        <v>18.912927263145683</v>
      </c>
      <c r="AX25" s="96">
        <f t="shared" ca="1" si="16"/>
        <v>-7.0895702950657515</v>
      </c>
      <c r="AY25" s="96">
        <f t="shared" ca="1" si="16"/>
        <v>-5.464414197677538</v>
      </c>
      <c r="AZ25" s="96">
        <f t="shared" ca="1" si="16"/>
        <v>1.6097946968358698</v>
      </c>
      <c r="BA25" s="96">
        <f t="shared" ca="1" si="16"/>
        <v>27.612292255047301</v>
      </c>
      <c r="BB25" s="96">
        <f t="shared" ca="1" si="16"/>
        <v>-0.20655623553919611</v>
      </c>
      <c r="BC25" s="96">
        <f t="shared" ca="1" si="16"/>
        <v>-4.3172451877564413</v>
      </c>
      <c r="BD25" s="96">
        <f t="shared" ca="1" si="16"/>
        <v>-6.7071806250920503</v>
      </c>
      <c r="BE25" s="96">
        <f t="shared" ca="1" si="16"/>
        <v>12.890289961059949</v>
      </c>
    </row>
    <row r="26" spans="1:57">
      <c r="B26" s="93" t="s">
        <v>1109</v>
      </c>
      <c r="C26" s="96">
        <f t="shared" ref="C26:AH26" ca="1" si="17">IF(OR(ISERROR(C16),ISERROR(C25)),"",C25-C16)</f>
        <v>0.80622606589096701</v>
      </c>
      <c r="D26" s="96" t="str">
        <f t="shared" ca="1" si="17"/>
        <v/>
      </c>
      <c r="E26" s="96" t="str">
        <f t="shared" ca="1" si="17"/>
        <v/>
      </c>
      <c r="F26" s="96" t="str">
        <f t="shared" ca="1" si="17"/>
        <v/>
      </c>
      <c r="G26" s="96">
        <f t="shared" ca="1" si="17"/>
        <v>-3.4383239088108226</v>
      </c>
      <c r="H26" s="96" t="str">
        <f t="shared" ca="1" si="17"/>
        <v/>
      </c>
      <c r="I26" s="96">
        <f t="shared" ca="1" si="17"/>
        <v>11.831578772346814</v>
      </c>
      <c r="J26" s="96" t="str">
        <f t="shared" ca="1" si="17"/>
        <v/>
      </c>
      <c r="K26" s="96" t="str">
        <f t="shared" ca="1" si="17"/>
        <v/>
      </c>
      <c r="L26" s="96">
        <f t="shared" ca="1" si="17"/>
        <v>4.6477162889788755</v>
      </c>
      <c r="M26" s="96" t="str">
        <f t="shared" ca="1" si="17"/>
        <v/>
      </c>
      <c r="N26" s="96">
        <f t="shared" ca="1" si="17"/>
        <v>17.072095178750963</v>
      </c>
      <c r="O26" s="96">
        <f t="shared" ca="1" si="17"/>
        <v>-2.6054695027264536</v>
      </c>
      <c r="P26" s="96">
        <f t="shared" ca="1" si="17"/>
        <v>2.000943680078402</v>
      </c>
      <c r="Q26" s="96" t="str">
        <f t="shared" ca="1" si="17"/>
        <v/>
      </c>
      <c r="R26" s="96">
        <f t="shared" ca="1" si="17"/>
        <v>-17.772945011467549</v>
      </c>
      <c r="S26" s="96">
        <f t="shared" ca="1" si="17"/>
        <v>-8.1809101817976639</v>
      </c>
      <c r="T26" s="96" t="str">
        <f t="shared" ca="1" si="17"/>
        <v/>
      </c>
      <c r="U26" s="96" t="str">
        <f t="shared" ca="1" si="17"/>
        <v/>
      </c>
      <c r="V26" s="96" t="str">
        <f t="shared" ca="1" si="17"/>
        <v/>
      </c>
      <c r="W26" s="96">
        <f t="shared" ca="1" si="17"/>
        <v>1.1507107332944706</v>
      </c>
      <c r="X26" s="96" t="str">
        <f t="shared" ca="1" si="17"/>
        <v/>
      </c>
      <c r="Y26" s="96">
        <f t="shared" ca="1" si="17"/>
        <v>1.961417139706306</v>
      </c>
      <c r="Z26" s="96" t="str">
        <f t="shared" ca="1" si="17"/>
        <v/>
      </c>
      <c r="AA26" s="96" t="str">
        <f t="shared" ca="1" si="17"/>
        <v/>
      </c>
      <c r="AB26" s="96" t="str">
        <f t="shared" ca="1" si="17"/>
        <v/>
      </c>
      <c r="AC26" s="96" t="str">
        <f t="shared" ca="1" si="17"/>
        <v/>
      </c>
      <c r="AD26" s="96" t="str">
        <f t="shared" ca="1" si="17"/>
        <v/>
      </c>
      <c r="AE26" s="96" t="str">
        <f t="shared" ca="1" si="17"/>
        <v/>
      </c>
      <c r="AF26" s="96" t="str">
        <f t="shared" ca="1" si="17"/>
        <v/>
      </c>
      <c r="AG26" s="96">
        <f t="shared" ca="1" si="17"/>
        <v>0.41489042517059005</v>
      </c>
      <c r="AH26" s="96" t="str">
        <f t="shared" ca="1" si="17"/>
        <v/>
      </c>
      <c r="AI26" s="96" t="str">
        <f t="shared" ref="AI26:BE26" ca="1" si="18">IF(OR(ISERROR(AI16),ISERROR(AI25)),"",AI25-AI16)</f>
        <v/>
      </c>
      <c r="AJ26" s="96" t="str">
        <f t="shared" ca="1" si="18"/>
        <v/>
      </c>
      <c r="AK26" s="96" t="str">
        <f t="shared" ca="1" si="18"/>
        <v/>
      </c>
      <c r="AL26" s="96">
        <f t="shared" ca="1" si="18"/>
        <v>-29.955603819124775</v>
      </c>
      <c r="AM26" s="96" t="str">
        <f t="shared" ca="1" si="18"/>
        <v/>
      </c>
      <c r="AN26" s="96" t="str">
        <f t="shared" ca="1" si="18"/>
        <v/>
      </c>
      <c r="AO26" s="96">
        <f t="shared" ca="1" si="18"/>
        <v>16.401240663817504</v>
      </c>
      <c r="AP26" s="96">
        <f t="shared" ca="1" si="18"/>
        <v>2.1758672043368961</v>
      </c>
      <c r="AQ26" s="96">
        <f t="shared" ca="1" si="18"/>
        <v>11.941085647037518</v>
      </c>
      <c r="AR26" s="96" t="str">
        <f t="shared" ca="1" si="18"/>
        <v/>
      </c>
      <c r="AS26" s="96" t="str">
        <f t="shared" ca="1" si="18"/>
        <v/>
      </c>
      <c r="AT26" s="96" t="str">
        <f t="shared" ca="1" si="18"/>
        <v/>
      </c>
      <c r="AU26" s="96" t="str">
        <f t="shared" ca="1" si="18"/>
        <v/>
      </c>
      <c r="AV26" s="96" t="str">
        <f t="shared" ca="1" si="18"/>
        <v/>
      </c>
      <c r="AW26" s="96" t="str">
        <f t="shared" ca="1" si="18"/>
        <v/>
      </c>
      <c r="AX26" s="96" t="str">
        <f t="shared" ca="1" si="18"/>
        <v/>
      </c>
      <c r="AY26" s="96" t="str">
        <f t="shared" ca="1" si="18"/>
        <v/>
      </c>
      <c r="AZ26" s="96" t="str">
        <f t="shared" ca="1" si="18"/>
        <v/>
      </c>
      <c r="BA26" s="96" t="str">
        <f t="shared" ca="1" si="18"/>
        <v/>
      </c>
      <c r="BB26" s="96">
        <f t="shared" ca="1" si="18"/>
        <v>-2.7747777818476873</v>
      </c>
      <c r="BC26" s="96">
        <f t="shared" ca="1" si="18"/>
        <v>-5.6757415936342426</v>
      </c>
      <c r="BD26" s="96" t="str">
        <f t="shared" ca="1" si="18"/>
        <v/>
      </c>
      <c r="BE26" s="96" t="str">
        <f t="shared" ca="1" si="18"/>
        <v/>
      </c>
    </row>
    <row r="27" spans="1:57">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row>
    <row r="28" spans="1:57">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row>
    <row r="29" spans="1:57">
      <c r="A29" s="98" t="s">
        <v>1110</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row>
    <row r="30" spans="1:57">
      <c r="A30" s="92" t="s">
        <v>1111</v>
      </c>
      <c r="B30" s="92" t="s">
        <v>1102</v>
      </c>
      <c r="C30" s="96" t="e">
        <f t="shared" ref="C30:AH30" ca="1" si="19">IF(C$14&gt;0,NA(),C15)</f>
        <v>#N/A</v>
      </c>
      <c r="D30" s="96" t="e">
        <f t="shared" ca="1" si="19"/>
        <v>#N/A</v>
      </c>
      <c r="E30" s="96" t="e">
        <f t="shared" ca="1" si="19"/>
        <v>#N/A</v>
      </c>
      <c r="F30" s="96" t="e">
        <f t="shared" ca="1" si="19"/>
        <v>#N/A</v>
      </c>
      <c r="G30" s="96" t="e">
        <f t="shared" ca="1" si="19"/>
        <v>#N/A</v>
      </c>
      <c r="H30" s="96" t="e">
        <f t="shared" ca="1" si="19"/>
        <v>#N/A</v>
      </c>
      <c r="I30" s="96" t="e">
        <f t="shared" ca="1" si="19"/>
        <v>#N/A</v>
      </c>
      <c r="J30" s="96" t="e">
        <f t="shared" ca="1" si="19"/>
        <v>#N/A</v>
      </c>
      <c r="K30" s="96" t="e">
        <f t="shared" ca="1" si="19"/>
        <v>#N/A</v>
      </c>
      <c r="L30" s="96" t="e">
        <f t="shared" ca="1" si="19"/>
        <v>#N/A</v>
      </c>
      <c r="M30" s="96" t="e">
        <f t="shared" ca="1" si="19"/>
        <v>#N/A</v>
      </c>
      <c r="N30" s="96" t="e">
        <f t="shared" ca="1" si="19"/>
        <v>#N/A</v>
      </c>
      <c r="O30" s="96" t="e">
        <f t="shared" ca="1" si="19"/>
        <v>#N/A</v>
      </c>
      <c r="P30" s="96" t="e">
        <f t="shared" ca="1" si="19"/>
        <v>#N/A</v>
      </c>
      <c r="Q30" s="96" t="e">
        <f t="shared" ca="1" si="19"/>
        <v>#N/A</v>
      </c>
      <c r="R30" s="96" t="e">
        <f t="shared" ca="1" si="19"/>
        <v>#N/A</v>
      </c>
      <c r="S30" s="96" t="e">
        <f t="shared" ca="1" si="19"/>
        <v>#N/A</v>
      </c>
      <c r="T30" s="96" t="e">
        <f t="shared" ca="1" si="19"/>
        <v>#N/A</v>
      </c>
      <c r="U30" s="96" t="e">
        <f t="shared" ca="1" si="19"/>
        <v>#N/A</v>
      </c>
      <c r="V30" s="96" t="e">
        <f t="shared" ca="1" si="19"/>
        <v>#N/A</v>
      </c>
      <c r="W30" s="96" t="e">
        <f t="shared" ca="1" si="19"/>
        <v>#N/A</v>
      </c>
      <c r="X30" s="96" t="e">
        <f t="shared" ca="1" si="19"/>
        <v>#N/A</v>
      </c>
      <c r="Y30" s="96" t="e">
        <f t="shared" ca="1" si="19"/>
        <v>#N/A</v>
      </c>
      <c r="Z30" s="96" t="e">
        <f t="shared" ca="1" si="19"/>
        <v>#N/A</v>
      </c>
      <c r="AA30" s="96" t="e">
        <f t="shared" ca="1" si="19"/>
        <v>#N/A</v>
      </c>
      <c r="AB30" s="96" t="e">
        <f t="shared" ca="1" si="19"/>
        <v>#N/A</v>
      </c>
      <c r="AC30" s="96" t="e">
        <f t="shared" ca="1" si="19"/>
        <v>#N/A</v>
      </c>
      <c r="AD30" s="96" t="e">
        <f t="shared" ca="1" si="19"/>
        <v>#N/A</v>
      </c>
      <c r="AE30" s="96" t="e">
        <f t="shared" ca="1" si="19"/>
        <v>#N/A</v>
      </c>
      <c r="AF30" s="96" t="e">
        <f t="shared" ca="1" si="19"/>
        <v>#N/A</v>
      </c>
      <c r="AG30" s="96" t="e">
        <f t="shared" ca="1" si="19"/>
        <v>#N/A</v>
      </c>
      <c r="AH30" s="96" t="e">
        <f t="shared" ca="1" si="19"/>
        <v>#N/A</v>
      </c>
      <c r="AI30" s="96" t="e">
        <f t="shared" ref="AI30:BE30" ca="1" si="20">IF(AI$14&gt;0,NA(),AI15)</f>
        <v>#N/A</v>
      </c>
      <c r="AJ30" s="96" t="e">
        <f t="shared" ca="1" si="20"/>
        <v>#N/A</v>
      </c>
      <c r="AK30" s="96" t="e">
        <f t="shared" ca="1" si="20"/>
        <v>#N/A</v>
      </c>
      <c r="AL30" s="96" t="e">
        <f t="shared" ca="1" si="20"/>
        <v>#N/A</v>
      </c>
      <c r="AM30" s="96" t="e">
        <f t="shared" ca="1" si="20"/>
        <v>#N/A</v>
      </c>
      <c r="AN30" s="96" t="e">
        <f t="shared" ca="1" si="20"/>
        <v>#N/A</v>
      </c>
      <c r="AO30" s="96" t="e">
        <f t="shared" ca="1" si="20"/>
        <v>#N/A</v>
      </c>
      <c r="AP30" s="96" t="e">
        <f t="shared" ca="1" si="20"/>
        <v>#N/A</v>
      </c>
      <c r="AQ30" s="96" t="e">
        <f t="shared" ca="1" si="20"/>
        <v>#N/A</v>
      </c>
      <c r="AR30" s="96" t="e">
        <f t="shared" ca="1" si="20"/>
        <v>#N/A</v>
      </c>
      <c r="AS30" s="96" t="e">
        <f t="shared" ca="1" si="20"/>
        <v>#N/A</v>
      </c>
      <c r="AT30" s="96" t="e">
        <f t="shared" ca="1" si="20"/>
        <v>#N/A</v>
      </c>
      <c r="AU30" s="96" t="e">
        <f t="shared" ca="1" si="20"/>
        <v>#N/A</v>
      </c>
      <c r="AV30" s="96" t="e">
        <f t="shared" ca="1" si="20"/>
        <v>#N/A</v>
      </c>
      <c r="AW30" s="96" t="e">
        <f t="shared" ca="1" si="20"/>
        <v>#N/A</v>
      </c>
      <c r="AX30" s="96" t="e">
        <f t="shared" ca="1" si="20"/>
        <v>#N/A</v>
      </c>
      <c r="AY30" s="96" t="e">
        <f t="shared" ca="1" si="20"/>
        <v>#N/A</v>
      </c>
      <c r="AZ30" s="96" t="e">
        <f t="shared" ca="1" si="20"/>
        <v>#N/A</v>
      </c>
      <c r="BA30" s="96" t="e">
        <f t="shared" ca="1" si="20"/>
        <v>#N/A</v>
      </c>
      <c r="BB30" s="96" t="e">
        <f t="shared" ca="1" si="20"/>
        <v>#N/A</v>
      </c>
      <c r="BC30" s="96" t="e">
        <f t="shared" ca="1" si="20"/>
        <v>#N/A</v>
      </c>
      <c r="BD30" s="96" t="e">
        <f t="shared" ca="1" si="20"/>
        <v>#N/A</v>
      </c>
      <c r="BE30" s="96" t="e">
        <f t="shared" ca="1" si="20"/>
        <v>#N/A</v>
      </c>
    </row>
    <row r="31" spans="1:57">
      <c r="B31" s="92" t="s">
        <v>1103</v>
      </c>
      <c r="C31" s="96" t="e">
        <f t="shared" ref="C31:AH31" ca="1" si="21">IF(C$14&gt;0,NA(),C16)</f>
        <v>#N/A</v>
      </c>
      <c r="D31" s="96" t="e">
        <f t="shared" ca="1" si="21"/>
        <v>#N/A</v>
      </c>
      <c r="E31" s="96" t="e">
        <f t="shared" ca="1" si="21"/>
        <v>#N/A</v>
      </c>
      <c r="F31" s="96" t="e">
        <f t="shared" ca="1" si="21"/>
        <v>#N/A</v>
      </c>
      <c r="G31" s="96" t="e">
        <f t="shared" ca="1" si="21"/>
        <v>#N/A</v>
      </c>
      <c r="H31" s="96" t="e">
        <f t="shared" ca="1" si="21"/>
        <v>#N/A</v>
      </c>
      <c r="I31" s="96" t="e">
        <f t="shared" ca="1" si="21"/>
        <v>#N/A</v>
      </c>
      <c r="J31" s="96" t="e">
        <f t="shared" ca="1" si="21"/>
        <v>#N/A</v>
      </c>
      <c r="K31" s="96" t="e">
        <f t="shared" ca="1" si="21"/>
        <v>#N/A</v>
      </c>
      <c r="L31" s="96" t="e">
        <f t="shared" ca="1" si="21"/>
        <v>#N/A</v>
      </c>
      <c r="M31" s="96" t="e">
        <f t="shared" ca="1" si="21"/>
        <v>#N/A</v>
      </c>
      <c r="N31" s="96" t="e">
        <f t="shared" ca="1" si="21"/>
        <v>#N/A</v>
      </c>
      <c r="O31" s="96" t="e">
        <f t="shared" ca="1" si="21"/>
        <v>#N/A</v>
      </c>
      <c r="P31" s="96" t="e">
        <f t="shared" ca="1" si="21"/>
        <v>#N/A</v>
      </c>
      <c r="Q31" s="96" t="e">
        <f t="shared" ca="1" si="21"/>
        <v>#N/A</v>
      </c>
      <c r="R31" s="96" t="e">
        <f t="shared" ca="1" si="21"/>
        <v>#N/A</v>
      </c>
      <c r="S31" s="96" t="e">
        <f t="shared" ca="1" si="21"/>
        <v>#N/A</v>
      </c>
      <c r="T31" s="96" t="e">
        <f t="shared" ca="1" si="21"/>
        <v>#N/A</v>
      </c>
      <c r="U31" s="96" t="e">
        <f t="shared" ca="1" si="21"/>
        <v>#N/A</v>
      </c>
      <c r="V31" s="96" t="e">
        <f t="shared" ca="1" si="21"/>
        <v>#N/A</v>
      </c>
      <c r="W31" s="96" t="e">
        <f t="shared" ca="1" si="21"/>
        <v>#N/A</v>
      </c>
      <c r="X31" s="96" t="e">
        <f t="shared" ca="1" si="21"/>
        <v>#N/A</v>
      </c>
      <c r="Y31" s="96" t="e">
        <f t="shared" ca="1" si="21"/>
        <v>#N/A</v>
      </c>
      <c r="Z31" s="96" t="e">
        <f t="shared" ca="1" si="21"/>
        <v>#N/A</v>
      </c>
      <c r="AA31" s="96" t="e">
        <f t="shared" ca="1" si="21"/>
        <v>#N/A</v>
      </c>
      <c r="AB31" s="96" t="e">
        <f t="shared" ca="1" si="21"/>
        <v>#N/A</v>
      </c>
      <c r="AC31" s="96" t="e">
        <f t="shared" ca="1" si="21"/>
        <v>#N/A</v>
      </c>
      <c r="AD31" s="96" t="e">
        <f t="shared" ca="1" si="21"/>
        <v>#N/A</v>
      </c>
      <c r="AE31" s="96" t="e">
        <f t="shared" ca="1" si="21"/>
        <v>#N/A</v>
      </c>
      <c r="AF31" s="96" t="e">
        <f t="shared" ca="1" si="21"/>
        <v>#N/A</v>
      </c>
      <c r="AG31" s="96" t="e">
        <f t="shared" ca="1" si="21"/>
        <v>#N/A</v>
      </c>
      <c r="AH31" s="96" t="e">
        <f t="shared" ca="1" si="21"/>
        <v>#N/A</v>
      </c>
      <c r="AI31" s="96" t="e">
        <f t="shared" ref="AI31:BE31" ca="1" si="22">IF(AI$14&gt;0,NA(),AI16)</f>
        <v>#N/A</v>
      </c>
      <c r="AJ31" s="96" t="e">
        <f t="shared" ca="1" si="22"/>
        <v>#N/A</v>
      </c>
      <c r="AK31" s="96" t="e">
        <f t="shared" ca="1" si="22"/>
        <v>#N/A</v>
      </c>
      <c r="AL31" s="96" t="e">
        <f t="shared" ca="1" si="22"/>
        <v>#N/A</v>
      </c>
      <c r="AM31" s="96" t="e">
        <f t="shared" ca="1" si="22"/>
        <v>#N/A</v>
      </c>
      <c r="AN31" s="96" t="e">
        <f t="shared" ca="1" si="22"/>
        <v>#N/A</v>
      </c>
      <c r="AO31" s="96" t="e">
        <f t="shared" ca="1" si="22"/>
        <v>#N/A</v>
      </c>
      <c r="AP31" s="96" t="e">
        <f t="shared" ca="1" si="22"/>
        <v>#N/A</v>
      </c>
      <c r="AQ31" s="96" t="e">
        <f t="shared" ca="1" si="22"/>
        <v>#N/A</v>
      </c>
      <c r="AR31" s="96" t="e">
        <f t="shared" ca="1" si="22"/>
        <v>#N/A</v>
      </c>
      <c r="AS31" s="96" t="e">
        <f t="shared" ca="1" si="22"/>
        <v>#N/A</v>
      </c>
      <c r="AT31" s="96" t="e">
        <f t="shared" ca="1" si="22"/>
        <v>#N/A</v>
      </c>
      <c r="AU31" s="96" t="e">
        <f t="shared" ca="1" si="22"/>
        <v>#N/A</v>
      </c>
      <c r="AV31" s="96" t="e">
        <f t="shared" ca="1" si="22"/>
        <v>#N/A</v>
      </c>
      <c r="AW31" s="96" t="e">
        <f t="shared" ca="1" si="22"/>
        <v>#N/A</v>
      </c>
      <c r="AX31" s="96" t="e">
        <f t="shared" ca="1" si="22"/>
        <v>#N/A</v>
      </c>
      <c r="AY31" s="96" t="e">
        <f t="shared" ca="1" si="22"/>
        <v>#N/A</v>
      </c>
      <c r="AZ31" s="96" t="e">
        <f t="shared" ca="1" si="22"/>
        <v>#N/A</v>
      </c>
      <c r="BA31" s="96" t="e">
        <f t="shared" ca="1" si="22"/>
        <v>#N/A</v>
      </c>
      <c r="BB31" s="96" t="e">
        <f t="shared" ca="1" si="22"/>
        <v>#N/A</v>
      </c>
      <c r="BC31" s="96" t="e">
        <f t="shared" ca="1" si="22"/>
        <v>#N/A</v>
      </c>
      <c r="BD31" s="96" t="e">
        <f t="shared" ca="1" si="22"/>
        <v>#N/A</v>
      </c>
      <c r="BE31" s="96" t="e">
        <f t="shared" ca="1" si="22"/>
        <v>#N/A</v>
      </c>
    </row>
    <row r="32" spans="1:57">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row>
    <row r="33" spans="1:57">
      <c r="A33" s="98" t="s">
        <v>1112</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row>
    <row r="34" spans="1:57">
      <c r="B34" s="92" t="s">
        <v>1102</v>
      </c>
      <c r="C34" s="96">
        <f t="shared" ref="C34:AH34" ca="1" si="23">IF(C$14=1,C15,NA())</f>
        <v>30.8</v>
      </c>
      <c r="D34" s="96">
        <f t="shared" ca="1" si="23"/>
        <v>43.9</v>
      </c>
      <c r="E34" s="96">
        <f t="shared" ca="1" si="23"/>
        <v>29</v>
      </c>
      <c r="F34" s="96">
        <f t="shared" ca="1" si="23"/>
        <v>42.7</v>
      </c>
      <c r="G34" s="96">
        <f t="shared" ca="1" si="23"/>
        <v>71.7</v>
      </c>
      <c r="H34" s="96">
        <f t="shared" ca="1" si="23"/>
        <v>43.1</v>
      </c>
      <c r="I34" s="96">
        <f t="shared" ca="1" si="23"/>
        <v>44</v>
      </c>
      <c r="J34" s="96">
        <f t="shared" ca="1" si="23"/>
        <v>54.1</v>
      </c>
      <c r="K34" s="96">
        <f t="shared" ca="1" si="23"/>
        <v>31.6</v>
      </c>
      <c r="L34" s="96">
        <f t="shared" ca="1" si="23"/>
        <v>48</v>
      </c>
      <c r="M34" s="96">
        <f t="shared" ca="1" si="23"/>
        <v>34.1</v>
      </c>
      <c r="N34" s="96">
        <f t="shared" ca="1" si="23"/>
        <v>58.6</v>
      </c>
      <c r="O34" s="96">
        <f t="shared" ca="1" si="23"/>
        <v>42.5</v>
      </c>
      <c r="P34" s="96">
        <f t="shared" ca="1" si="23"/>
        <v>47</v>
      </c>
      <c r="Q34" s="96">
        <f t="shared" ca="1" si="23"/>
        <v>36.799999999999997</v>
      </c>
      <c r="R34" s="96">
        <f t="shared" ca="1" si="23"/>
        <v>59.7</v>
      </c>
      <c r="S34" s="96">
        <f t="shared" ca="1" si="23"/>
        <v>57.5</v>
      </c>
      <c r="T34" s="96">
        <f t="shared" ca="1" si="23"/>
        <v>31.3</v>
      </c>
      <c r="U34" s="96">
        <f t="shared" ca="1" si="23"/>
        <v>45.1</v>
      </c>
      <c r="V34" s="96">
        <f t="shared" ca="1" si="23"/>
        <v>60.9</v>
      </c>
      <c r="W34" s="96">
        <f t="shared" ca="1" si="23"/>
        <v>51.8</v>
      </c>
      <c r="X34" s="96">
        <f t="shared" ca="1" si="23"/>
        <v>33.4</v>
      </c>
      <c r="Y34" s="96">
        <f t="shared" ca="1" si="23"/>
        <v>49.3</v>
      </c>
      <c r="Z34" s="96">
        <f t="shared" ca="1" si="23"/>
        <v>62.1</v>
      </c>
      <c r="AA34" s="96">
        <f t="shared" ca="1" si="23"/>
        <v>35.200000000000003</v>
      </c>
      <c r="AB34" s="96">
        <f t="shared" ca="1" si="23"/>
        <v>23.7</v>
      </c>
      <c r="AC34" s="96">
        <f t="shared" ca="1" si="23"/>
        <v>55.8</v>
      </c>
      <c r="AD34" s="96">
        <f t="shared" ca="1" si="23"/>
        <v>56.2</v>
      </c>
      <c r="AE34" s="96">
        <f t="shared" ca="1" si="23"/>
        <v>29.3</v>
      </c>
      <c r="AF34" s="96">
        <f t="shared" ca="1" si="23"/>
        <v>32.299999999999997</v>
      </c>
      <c r="AG34" s="96">
        <f t="shared" ca="1" si="23"/>
        <v>47.3</v>
      </c>
      <c r="AH34" s="96">
        <f t="shared" ca="1" si="23"/>
        <v>30</v>
      </c>
      <c r="AI34" s="96">
        <f t="shared" ref="AI34:BE34" ca="1" si="24">IF(AI$14=1,AI15,NA())</f>
        <v>30.3</v>
      </c>
      <c r="AJ34" s="96">
        <f t="shared" ca="1" si="24"/>
        <v>40.299999999999997</v>
      </c>
      <c r="AK34" s="96">
        <f t="shared" ca="1" si="24"/>
        <v>30</v>
      </c>
      <c r="AL34" s="96">
        <f t="shared" ca="1" si="24"/>
        <v>58.7</v>
      </c>
      <c r="AM34" s="96">
        <f t="shared" ca="1" si="24"/>
        <v>39.4</v>
      </c>
      <c r="AN34" s="96">
        <f t="shared" ca="1" si="24"/>
        <v>56.5</v>
      </c>
      <c r="AO34" s="96">
        <f t="shared" ca="1" si="24"/>
        <v>50.9</v>
      </c>
      <c r="AP34" s="96">
        <f t="shared" ca="1" si="24"/>
        <v>49.5</v>
      </c>
      <c r="AQ34" s="96">
        <f t="shared" ca="1" si="24"/>
        <v>73.8</v>
      </c>
      <c r="AR34" s="96">
        <f t="shared" ca="1" si="24"/>
        <v>68.400000000000006</v>
      </c>
      <c r="AS34" s="96">
        <f t="shared" ca="1" si="24"/>
        <v>38.6</v>
      </c>
      <c r="AT34" s="96">
        <f t="shared" ca="1" si="24"/>
        <v>32.6</v>
      </c>
      <c r="AU34" s="96">
        <f t="shared" ca="1" si="24"/>
        <v>40.4</v>
      </c>
      <c r="AV34" s="96">
        <f t="shared" ca="1" si="24"/>
        <v>40.4</v>
      </c>
      <c r="AW34" s="96">
        <f t="shared" ca="1" si="24"/>
        <v>48.4</v>
      </c>
      <c r="AX34" s="96">
        <f t="shared" ca="1" si="24"/>
        <v>21.2</v>
      </c>
      <c r="AY34" s="96">
        <f t="shared" ca="1" si="24"/>
        <v>22.9</v>
      </c>
      <c r="AZ34" s="96">
        <f t="shared" ca="1" si="24"/>
        <v>30.3</v>
      </c>
      <c r="BA34" s="96">
        <f t="shared" ca="1" si="24"/>
        <v>57.5</v>
      </c>
      <c r="BB34" s="96">
        <f t="shared" ca="1" si="24"/>
        <v>28.4</v>
      </c>
      <c r="BC34" s="96">
        <f t="shared" ca="1" si="24"/>
        <v>24.1</v>
      </c>
      <c r="BD34" s="96">
        <f t="shared" ca="1" si="24"/>
        <v>21.6</v>
      </c>
      <c r="BE34" s="96">
        <f t="shared" ca="1" si="24"/>
        <v>42.1</v>
      </c>
    </row>
    <row r="35" spans="1:57">
      <c r="B35" s="92" t="s">
        <v>1103</v>
      </c>
      <c r="C35" s="96">
        <f t="shared" ref="C35:AH35" ca="1" si="25">IF(C$14=1,C16,NA())</f>
        <v>1.2815557184120232</v>
      </c>
      <c r="D35" s="96" t="e">
        <f t="shared" ca="1" si="25"/>
        <v>#N/A</v>
      </c>
      <c r="E35" s="96" t="e">
        <f t="shared" ca="1" si="25"/>
        <v>#N/A</v>
      </c>
      <c r="F35" s="96" t="e">
        <f t="shared" ca="1" si="25"/>
        <v>#N/A</v>
      </c>
      <c r="G35" s="96">
        <f t="shared" ca="1" si="25"/>
        <v>44.625449447924396</v>
      </c>
      <c r="H35" s="96" t="e">
        <f t="shared" ca="1" si="25"/>
        <v>#N/A</v>
      </c>
      <c r="I35" s="96">
        <f t="shared" ca="1" si="25"/>
        <v>2.8750621210881939</v>
      </c>
      <c r="J35" s="96" t="e">
        <f t="shared" ca="1" si="25"/>
        <v>#N/A</v>
      </c>
      <c r="K35" s="96" t="e">
        <f t="shared" ca="1" si="25"/>
        <v>#N/A</v>
      </c>
      <c r="L35" s="96">
        <f t="shared" ca="1" si="25"/>
        <v>13.88282130419311</v>
      </c>
      <c r="M35" s="96" t="e">
        <f t="shared" ca="1" si="25"/>
        <v>#N/A</v>
      </c>
      <c r="N35" s="96">
        <f t="shared" ca="1" si="25"/>
        <v>11.591768668724008</v>
      </c>
      <c r="O35" s="96">
        <f t="shared" ca="1" si="25"/>
        <v>15.8781491337601</v>
      </c>
      <c r="P35" s="96">
        <f t="shared" ca="1" si="25"/>
        <v>15.573619738159342</v>
      </c>
      <c r="Q35" s="96" t="e">
        <f t="shared" ca="1" si="25"/>
        <v>#N/A</v>
      </c>
      <c r="R35" s="96">
        <f t="shared" ca="1" si="25"/>
        <v>47.48838045137019</v>
      </c>
      <c r="S35" s="96">
        <f t="shared" ca="1" si="25"/>
        <v>35.793202436844965</v>
      </c>
      <c r="T35" s="96" t="e">
        <f t="shared" ca="1" si="25"/>
        <v>#N/A</v>
      </c>
      <c r="U35" s="96" t="e">
        <f t="shared" ca="1" si="25"/>
        <v>#N/A</v>
      </c>
      <c r="V35" s="96" t="e">
        <f t="shared" ca="1" si="25"/>
        <v>#N/A</v>
      </c>
      <c r="W35" s="96">
        <f t="shared" ca="1" si="25"/>
        <v>21.012528724627639</v>
      </c>
      <c r="X35" s="96" t="e">
        <f t="shared" ca="1" si="25"/>
        <v>#N/A</v>
      </c>
      <c r="Y35" s="96">
        <f t="shared" ca="1" si="25"/>
        <v>17.811886880880195</v>
      </c>
      <c r="Z35" s="96" t="e">
        <f t="shared" ca="1" si="25"/>
        <v>#N/A</v>
      </c>
      <c r="AA35" s="96" t="e">
        <f t="shared" ca="1" si="25"/>
        <v>#N/A</v>
      </c>
      <c r="AB35" s="96" t="e">
        <f t="shared" ca="1" si="25"/>
        <v>#N/A</v>
      </c>
      <c r="AC35" s="96" t="e">
        <f t="shared" ca="1" si="25"/>
        <v>#N/A</v>
      </c>
      <c r="AD35" s="96" t="e">
        <f t="shared" ca="1" si="25"/>
        <v>#N/A</v>
      </c>
      <c r="AE35" s="96" t="e">
        <f t="shared" ca="1" si="25"/>
        <v>#N/A</v>
      </c>
      <c r="AF35" s="96" t="e">
        <f t="shared" ca="1" si="25"/>
        <v>#N/A</v>
      </c>
      <c r="AG35" s="96">
        <f t="shared" ca="1" si="25"/>
        <v>17.446465245547422</v>
      </c>
      <c r="AH35" s="96" t="e">
        <f t="shared" ca="1" si="25"/>
        <v>#N/A</v>
      </c>
      <c r="AI35" s="96" t="e">
        <f t="shared" ref="AI35:BE35" ca="1" si="26">IF(AI$14=1,AI16,NA())</f>
        <v>#N/A</v>
      </c>
      <c r="AJ35" s="96" t="e">
        <f t="shared" ca="1" si="26"/>
        <v>#N/A</v>
      </c>
      <c r="AK35" s="96" t="e">
        <f t="shared" ca="1" si="26"/>
        <v>#N/A</v>
      </c>
      <c r="AL35" s="96">
        <f t="shared" ca="1" si="26"/>
        <v>58.715065084093169</v>
      </c>
      <c r="AM35" s="96" t="e">
        <f t="shared" ca="1" si="26"/>
        <v>#N/A</v>
      </c>
      <c r="AN35" s="96" t="e">
        <f t="shared" ca="1" si="26"/>
        <v>#N/A</v>
      </c>
      <c r="AO35" s="96">
        <f t="shared" ca="1" si="26"/>
        <v>4.9016220366637873</v>
      </c>
      <c r="AP35" s="96">
        <f t="shared" ca="1" si="26"/>
        <v>17.788631651236457</v>
      </c>
      <c r="AQ35" s="96">
        <f t="shared" ca="1" si="26"/>
        <v>31.25358565943796</v>
      </c>
      <c r="AR35" s="96" t="e">
        <f t="shared" ca="1" si="26"/>
        <v>#N/A</v>
      </c>
      <c r="AS35" s="96" t="e">
        <f t="shared" ca="1" si="26"/>
        <v>#N/A</v>
      </c>
      <c r="AT35" s="96" t="e">
        <f t="shared" ca="1" si="26"/>
        <v>#N/A</v>
      </c>
      <c r="AU35" s="96" t="e">
        <f t="shared" ca="1" si="26"/>
        <v>#N/A</v>
      </c>
      <c r="AV35" s="96" t="e">
        <f t="shared" ca="1" si="26"/>
        <v>#N/A</v>
      </c>
      <c r="AW35" s="96" t="e">
        <f t="shared" ca="1" si="26"/>
        <v>#N/A</v>
      </c>
      <c r="AX35" s="96" t="e">
        <f t="shared" ca="1" si="26"/>
        <v>#N/A</v>
      </c>
      <c r="AY35" s="96" t="e">
        <f t="shared" ca="1" si="26"/>
        <v>#N/A</v>
      </c>
      <c r="AZ35" s="96" t="e">
        <f t="shared" ca="1" si="26"/>
        <v>#N/A</v>
      </c>
      <c r="BA35" s="96" t="e">
        <f t="shared" ca="1" si="26"/>
        <v>#N/A</v>
      </c>
      <c r="BB35" s="96">
        <f t="shared" ca="1" si="26"/>
        <v>2.5682215463084912</v>
      </c>
      <c r="BC35" s="96">
        <f t="shared" ca="1" si="26"/>
        <v>1.3584964058778015</v>
      </c>
      <c r="BD35" s="96" t="e">
        <f t="shared" ca="1" si="26"/>
        <v>#N/A</v>
      </c>
      <c r="BE35" s="96" t="e">
        <f t="shared" ca="1" si="26"/>
        <v>#N/A</v>
      </c>
    </row>
    <row r="36" spans="1:57">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row>
    <row r="37" spans="1:57">
      <c r="A37" s="98" t="s">
        <v>1113</v>
      </c>
      <c r="C37" s="96">
        <f t="shared" ref="C37:AH37" ca="1" si="27">IF(OR(C12=$C$48,C12=$D$48,C12=$C$41),0,1)</f>
        <v>1</v>
      </c>
      <c r="D37" s="96">
        <f t="shared" ca="1" si="27"/>
        <v>1</v>
      </c>
      <c r="E37" s="96">
        <f t="shared" ca="1" si="27"/>
        <v>1</v>
      </c>
      <c r="F37" s="96">
        <f t="shared" ca="1" si="27"/>
        <v>1</v>
      </c>
      <c r="G37" s="96">
        <f t="shared" ca="1" si="27"/>
        <v>1</v>
      </c>
      <c r="H37" s="96">
        <f t="shared" ca="1" si="27"/>
        <v>1</v>
      </c>
      <c r="I37" s="96">
        <f t="shared" ca="1" si="27"/>
        <v>1</v>
      </c>
      <c r="J37" s="96">
        <f t="shared" ca="1" si="27"/>
        <v>1</v>
      </c>
      <c r="K37" s="96">
        <f t="shared" ca="1" si="27"/>
        <v>1</v>
      </c>
      <c r="L37" s="96">
        <f t="shared" ca="1" si="27"/>
        <v>1</v>
      </c>
      <c r="M37" s="96">
        <f t="shared" ca="1" si="27"/>
        <v>1</v>
      </c>
      <c r="N37" s="96">
        <f t="shared" ca="1" si="27"/>
        <v>1</v>
      </c>
      <c r="O37" s="96">
        <f t="shared" ca="1" si="27"/>
        <v>1</v>
      </c>
      <c r="P37" s="96">
        <f t="shared" ca="1" si="27"/>
        <v>1</v>
      </c>
      <c r="Q37" s="96">
        <f t="shared" ca="1" si="27"/>
        <v>1</v>
      </c>
      <c r="R37" s="96">
        <f t="shared" ca="1" si="27"/>
        <v>1</v>
      </c>
      <c r="S37" s="96">
        <f t="shared" ca="1" si="27"/>
        <v>1</v>
      </c>
      <c r="T37" s="96">
        <f t="shared" ca="1" si="27"/>
        <v>1</v>
      </c>
      <c r="U37" s="96">
        <f t="shared" ca="1" si="27"/>
        <v>1</v>
      </c>
      <c r="V37" s="96">
        <f t="shared" ca="1" si="27"/>
        <v>1</v>
      </c>
      <c r="W37" s="96">
        <f t="shared" ca="1" si="27"/>
        <v>1</v>
      </c>
      <c r="X37" s="96">
        <f t="shared" ca="1" si="27"/>
        <v>1</v>
      </c>
      <c r="Y37" s="96">
        <f t="shared" ca="1" si="27"/>
        <v>1</v>
      </c>
      <c r="Z37" s="96">
        <f t="shared" ca="1" si="27"/>
        <v>1</v>
      </c>
      <c r="AA37" s="96">
        <f t="shared" ca="1" si="27"/>
        <v>1</v>
      </c>
      <c r="AB37" s="96">
        <f t="shared" ca="1" si="27"/>
        <v>1</v>
      </c>
      <c r="AC37" s="96">
        <f t="shared" ca="1" si="27"/>
        <v>1</v>
      </c>
      <c r="AD37" s="96">
        <f t="shared" ca="1" si="27"/>
        <v>1</v>
      </c>
      <c r="AE37" s="96">
        <f t="shared" ca="1" si="27"/>
        <v>1</v>
      </c>
      <c r="AF37" s="96">
        <f t="shared" ca="1" si="27"/>
        <v>1</v>
      </c>
      <c r="AG37" s="96">
        <f t="shared" ca="1" si="27"/>
        <v>1</v>
      </c>
      <c r="AH37" s="96">
        <f t="shared" ca="1" si="27"/>
        <v>1</v>
      </c>
      <c r="AI37" s="96">
        <f t="shared" ref="AI37:BE37" ca="1" si="28">IF(OR(AI12=$C$48,AI12=$D$48,AI12=$C$41),0,1)</f>
        <v>1</v>
      </c>
      <c r="AJ37" s="96">
        <f t="shared" ca="1" si="28"/>
        <v>1</v>
      </c>
      <c r="AK37" s="96">
        <f t="shared" ca="1" si="28"/>
        <v>1</v>
      </c>
      <c r="AL37" s="96">
        <f t="shared" ca="1" si="28"/>
        <v>1</v>
      </c>
      <c r="AM37" s="96">
        <f t="shared" ca="1" si="28"/>
        <v>1</v>
      </c>
      <c r="AN37" s="96">
        <f t="shared" ca="1" si="28"/>
        <v>1</v>
      </c>
      <c r="AO37" s="96">
        <f t="shared" ca="1" si="28"/>
        <v>1</v>
      </c>
      <c r="AP37" s="96">
        <f t="shared" ca="1" si="28"/>
        <v>1</v>
      </c>
      <c r="AQ37" s="96">
        <f t="shared" ca="1" si="28"/>
        <v>1</v>
      </c>
      <c r="AR37" s="96">
        <f t="shared" ca="1" si="28"/>
        <v>1</v>
      </c>
      <c r="AS37" s="96">
        <f t="shared" ca="1" si="28"/>
        <v>1</v>
      </c>
      <c r="AT37" s="96">
        <f t="shared" ca="1" si="28"/>
        <v>1</v>
      </c>
      <c r="AU37" s="96">
        <f t="shared" ca="1" si="28"/>
        <v>1</v>
      </c>
      <c r="AV37" s="96">
        <f t="shared" ca="1" si="28"/>
        <v>1</v>
      </c>
      <c r="AW37" s="96">
        <f t="shared" ca="1" si="28"/>
        <v>1</v>
      </c>
      <c r="AX37" s="96">
        <f t="shared" ca="1" si="28"/>
        <v>1</v>
      </c>
      <c r="AY37" s="96">
        <f t="shared" ca="1" si="28"/>
        <v>1</v>
      </c>
      <c r="AZ37" s="96">
        <f t="shared" ca="1" si="28"/>
        <v>1</v>
      </c>
      <c r="BA37" s="96">
        <f t="shared" ca="1" si="28"/>
        <v>1</v>
      </c>
      <c r="BB37" s="96">
        <f t="shared" ca="1" si="28"/>
        <v>1</v>
      </c>
      <c r="BC37" s="96">
        <f t="shared" ca="1" si="28"/>
        <v>1</v>
      </c>
      <c r="BD37" s="96">
        <f t="shared" ca="1" si="28"/>
        <v>1</v>
      </c>
      <c r="BE37" s="96">
        <f t="shared" ca="1" si="28"/>
        <v>1</v>
      </c>
    </row>
    <row r="38" spans="1:57">
      <c r="C38" s="96">
        <f t="shared" ref="C38:AH38" ca="1" si="29">IF(AND($B$6=TRUE,C$37=1),C34,NA())</f>
        <v>30.8</v>
      </c>
      <c r="D38" s="96">
        <f t="shared" ca="1" si="29"/>
        <v>43.9</v>
      </c>
      <c r="E38" s="96">
        <f t="shared" ca="1" si="29"/>
        <v>29</v>
      </c>
      <c r="F38" s="96">
        <f t="shared" ca="1" si="29"/>
        <v>42.7</v>
      </c>
      <c r="G38" s="96">
        <f t="shared" ca="1" si="29"/>
        <v>71.7</v>
      </c>
      <c r="H38" s="96">
        <f t="shared" ca="1" si="29"/>
        <v>43.1</v>
      </c>
      <c r="I38" s="96">
        <f t="shared" ca="1" si="29"/>
        <v>44</v>
      </c>
      <c r="J38" s="96">
        <f t="shared" ca="1" si="29"/>
        <v>54.1</v>
      </c>
      <c r="K38" s="96">
        <f t="shared" ca="1" si="29"/>
        <v>31.6</v>
      </c>
      <c r="L38" s="96">
        <f t="shared" ca="1" si="29"/>
        <v>48</v>
      </c>
      <c r="M38" s="96">
        <f t="shared" ca="1" si="29"/>
        <v>34.1</v>
      </c>
      <c r="N38" s="96">
        <f t="shared" ca="1" si="29"/>
        <v>58.6</v>
      </c>
      <c r="O38" s="96">
        <f t="shared" ca="1" si="29"/>
        <v>42.5</v>
      </c>
      <c r="P38" s="96">
        <f t="shared" ca="1" si="29"/>
        <v>47</v>
      </c>
      <c r="Q38" s="96">
        <f t="shared" ca="1" si="29"/>
        <v>36.799999999999997</v>
      </c>
      <c r="R38" s="96">
        <f t="shared" ca="1" si="29"/>
        <v>59.7</v>
      </c>
      <c r="S38" s="96">
        <f t="shared" ca="1" si="29"/>
        <v>57.5</v>
      </c>
      <c r="T38" s="96">
        <f t="shared" ca="1" si="29"/>
        <v>31.3</v>
      </c>
      <c r="U38" s="96">
        <f t="shared" ca="1" si="29"/>
        <v>45.1</v>
      </c>
      <c r="V38" s="96">
        <f t="shared" ca="1" si="29"/>
        <v>60.9</v>
      </c>
      <c r="W38" s="96">
        <f t="shared" ca="1" si="29"/>
        <v>51.8</v>
      </c>
      <c r="X38" s="96">
        <f t="shared" ca="1" si="29"/>
        <v>33.4</v>
      </c>
      <c r="Y38" s="96">
        <f t="shared" ca="1" si="29"/>
        <v>49.3</v>
      </c>
      <c r="Z38" s="96">
        <f t="shared" ca="1" si="29"/>
        <v>62.1</v>
      </c>
      <c r="AA38" s="96">
        <f t="shared" ca="1" si="29"/>
        <v>35.200000000000003</v>
      </c>
      <c r="AB38" s="96">
        <f t="shared" ca="1" si="29"/>
        <v>23.7</v>
      </c>
      <c r="AC38" s="96">
        <f t="shared" ca="1" si="29"/>
        <v>55.8</v>
      </c>
      <c r="AD38" s="96">
        <f t="shared" ca="1" si="29"/>
        <v>56.2</v>
      </c>
      <c r="AE38" s="96">
        <f t="shared" ca="1" si="29"/>
        <v>29.3</v>
      </c>
      <c r="AF38" s="96">
        <f t="shared" ca="1" si="29"/>
        <v>32.299999999999997</v>
      </c>
      <c r="AG38" s="96">
        <f t="shared" ca="1" si="29"/>
        <v>47.3</v>
      </c>
      <c r="AH38" s="96">
        <f t="shared" ca="1" si="29"/>
        <v>30</v>
      </c>
      <c r="AI38" s="96">
        <f t="shared" ref="AI38:BE38" ca="1" si="30">IF(AND($B$6=TRUE,AI$37=1),AI34,NA())</f>
        <v>30.3</v>
      </c>
      <c r="AJ38" s="96">
        <f t="shared" ca="1" si="30"/>
        <v>40.299999999999997</v>
      </c>
      <c r="AK38" s="96">
        <f t="shared" ca="1" si="30"/>
        <v>30</v>
      </c>
      <c r="AL38" s="96">
        <f t="shared" ca="1" si="30"/>
        <v>58.7</v>
      </c>
      <c r="AM38" s="96">
        <f t="shared" ca="1" si="30"/>
        <v>39.4</v>
      </c>
      <c r="AN38" s="96">
        <f t="shared" ca="1" si="30"/>
        <v>56.5</v>
      </c>
      <c r="AO38" s="96">
        <f t="shared" ca="1" si="30"/>
        <v>50.9</v>
      </c>
      <c r="AP38" s="96">
        <f t="shared" ca="1" si="30"/>
        <v>49.5</v>
      </c>
      <c r="AQ38" s="96">
        <f t="shared" ca="1" si="30"/>
        <v>73.8</v>
      </c>
      <c r="AR38" s="96">
        <f t="shared" ca="1" si="30"/>
        <v>68.400000000000006</v>
      </c>
      <c r="AS38" s="96">
        <f t="shared" ca="1" si="30"/>
        <v>38.6</v>
      </c>
      <c r="AT38" s="96">
        <f t="shared" ca="1" si="30"/>
        <v>32.6</v>
      </c>
      <c r="AU38" s="96">
        <f t="shared" ca="1" si="30"/>
        <v>40.4</v>
      </c>
      <c r="AV38" s="96">
        <f t="shared" ca="1" si="30"/>
        <v>40.4</v>
      </c>
      <c r="AW38" s="96">
        <f t="shared" ca="1" si="30"/>
        <v>48.4</v>
      </c>
      <c r="AX38" s="96">
        <f t="shared" ca="1" si="30"/>
        <v>21.2</v>
      </c>
      <c r="AY38" s="96">
        <f t="shared" ca="1" si="30"/>
        <v>22.9</v>
      </c>
      <c r="AZ38" s="96">
        <f t="shared" ca="1" si="30"/>
        <v>30.3</v>
      </c>
      <c r="BA38" s="96">
        <f t="shared" ca="1" si="30"/>
        <v>57.5</v>
      </c>
      <c r="BB38" s="96">
        <f t="shared" ca="1" si="30"/>
        <v>28.4</v>
      </c>
      <c r="BC38" s="96">
        <f t="shared" ca="1" si="30"/>
        <v>24.1</v>
      </c>
      <c r="BD38" s="96">
        <f t="shared" ca="1" si="30"/>
        <v>21.6</v>
      </c>
      <c r="BE38" s="96">
        <f t="shared" ca="1" si="30"/>
        <v>42.1</v>
      </c>
    </row>
    <row r="39" spans="1:57">
      <c r="C39" s="96">
        <f t="shared" ref="C39:AH39" ca="1" si="31">IF(AND($B$6=TRUE,C$37=1),C35,NA())</f>
        <v>1.2815557184120232</v>
      </c>
      <c r="D39" s="96" t="e">
        <f t="shared" ca="1" si="31"/>
        <v>#N/A</v>
      </c>
      <c r="E39" s="96" t="e">
        <f t="shared" ca="1" si="31"/>
        <v>#N/A</v>
      </c>
      <c r="F39" s="96" t="e">
        <f t="shared" ca="1" si="31"/>
        <v>#N/A</v>
      </c>
      <c r="G39" s="96">
        <f t="shared" ca="1" si="31"/>
        <v>44.625449447924396</v>
      </c>
      <c r="H39" s="96" t="e">
        <f t="shared" ca="1" si="31"/>
        <v>#N/A</v>
      </c>
      <c r="I39" s="96">
        <f t="shared" ca="1" si="31"/>
        <v>2.8750621210881939</v>
      </c>
      <c r="J39" s="96" t="e">
        <f t="shared" ca="1" si="31"/>
        <v>#N/A</v>
      </c>
      <c r="K39" s="96" t="e">
        <f t="shared" ca="1" si="31"/>
        <v>#N/A</v>
      </c>
      <c r="L39" s="96">
        <f t="shared" ca="1" si="31"/>
        <v>13.88282130419311</v>
      </c>
      <c r="M39" s="96" t="e">
        <f t="shared" ca="1" si="31"/>
        <v>#N/A</v>
      </c>
      <c r="N39" s="96">
        <f t="shared" ca="1" si="31"/>
        <v>11.591768668724008</v>
      </c>
      <c r="O39" s="96">
        <f t="shared" ca="1" si="31"/>
        <v>15.8781491337601</v>
      </c>
      <c r="P39" s="96">
        <f t="shared" ca="1" si="31"/>
        <v>15.573619738159342</v>
      </c>
      <c r="Q39" s="96" t="e">
        <f t="shared" ca="1" si="31"/>
        <v>#N/A</v>
      </c>
      <c r="R39" s="96">
        <f t="shared" ca="1" si="31"/>
        <v>47.48838045137019</v>
      </c>
      <c r="S39" s="96">
        <f t="shared" ca="1" si="31"/>
        <v>35.793202436844965</v>
      </c>
      <c r="T39" s="96" t="e">
        <f t="shared" ca="1" si="31"/>
        <v>#N/A</v>
      </c>
      <c r="U39" s="96" t="e">
        <f t="shared" ca="1" si="31"/>
        <v>#N/A</v>
      </c>
      <c r="V39" s="96" t="e">
        <f t="shared" ca="1" si="31"/>
        <v>#N/A</v>
      </c>
      <c r="W39" s="96">
        <f t="shared" ca="1" si="31"/>
        <v>21.012528724627639</v>
      </c>
      <c r="X39" s="96" t="e">
        <f t="shared" ca="1" si="31"/>
        <v>#N/A</v>
      </c>
      <c r="Y39" s="96">
        <f t="shared" ca="1" si="31"/>
        <v>17.811886880880195</v>
      </c>
      <c r="Z39" s="96" t="e">
        <f t="shared" ca="1" si="31"/>
        <v>#N/A</v>
      </c>
      <c r="AA39" s="96" t="e">
        <f t="shared" ca="1" si="31"/>
        <v>#N/A</v>
      </c>
      <c r="AB39" s="96" t="e">
        <f t="shared" ca="1" si="31"/>
        <v>#N/A</v>
      </c>
      <c r="AC39" s="96" t="e">
        <f t="shared" ca="1" si="31"/>
        <v>#N/A</v>
      </c>
      <c r="AD39" s="96" t="e">
        <f t="shared" ca="1" si="31"/>
        <v>#N/A</v>
      </c>
      <c r="AE39" s="96" t="e">
        <f t="shared" ca="1" si="31"/>
        <v>#N/A</v>
      </c>
      <c r="AF39" s="96" t="e">
        <f t="shared" ca="1" si="31"/>
        <v>#N/A</v>
      </c>
      <c r="AG39" s="96">
        <f t="shared" ca="1" si="31"/>
        <v>17.446465245547422</v>
      </c>
      <c r="AH39" s="96" t="e">
        <f t="shared" ca="1" si="31"/>
        <v>#N/A</v>
      </c>
      <c r="AI39" s="96" t="e">
        <f t="shared" ref="AI39:BE39" ca="1" si="32">IF(AND($B$6=TRUE,AI$37=1),AI35,NA())</f>
        <v>#N/A</v>
      </c>
      <c r="AJ39" s="96" t="e">
        <f t="shared" ca="1" si="32"/>
        <v>#N/A</v>
      </c>
      <c r="AK39" s="96" t="e">
        <f t="shared" ca="1" si="32"/>
        <v>#N/A</v>
      </c>
      <c r="AL39" s="96">
        <f t="shared" ca="1" si="32"/>
        <v>58.715065084093169</v>
      </c>
      <c r="AM39" s="96" t="e">
        <f t="shared" ca="1" si="32"/>
        <v>#N/A</v>
      </c>
      <c r="AN39" s="96" t="e">
        <f t="shared" ca="1" si="32"/>
        <v>#N/A</v>
      </c>
      <c r="AO39" s="96">
        <f t="shared" ca="1" si="32"/>
        <v>4.9016220366637873</v>
      </c>
      <c r="AP39" s="96">
        <f t="shared" ca="1" si="32"/>
        <v>17.788631651236457</v>
      </c>
      <c r="AQ39" s="96">
        <f t="shared" ca="1" si="32"/>
        <v>31.25358565943796</v>
      </c>
      <c r="AR39" s="96" t="e">
        <f t="shared" ca="1" si="32"/>
        <v>#N/A</v>
      </c>
      <c r="AS39" s="96" t="e">
        <f t="shared" ca="1" si="32"/>
        <v>#N/A</v>
      </c>
      <c r="AT39" s="96" t="e">
        <f t="shared" ca="1" si="32"/>
        <v>#N/A</v>
      </c>
      <c r="AU39" s="96" t="e">
        <f t="shared" ca="1" si="32"/>
        <v>#N/A</v>
      </c>
      <c r="AV39" s="96" t="e">
        <f t="shared" ca="1" si="32"/>
        <v>#N/A</v>
      </c>
      <c r="AW39" s="96" t="e">
        <f t="shared" ca="1" si="32"/>
        <v>#N/A</v>
      </c>
      <c r="AX39" s="96" t="e">
        <f t="shared" ca="1" si="32"/>
        <v>#N/A</v>
      </c>
      <c r="AY39" s="96" t="e">
        <f t="shared" ca="1" si="32"/>
        <v>#N/A</v>
      </c>
      <c r="AZ39" s="96" t="e">
        <f t="shared" ca="1" si="32"/>
        <v>#N/A</v>
      </c>
      <c r="BA39" s="96" t="e">
        <f t="shared" ca="1" si="32"/>
        <v>#N/A</v>
      </c>
      <c r="BB39" s="96">
        <f t="shared" ca="1" si="32"/>
        <v>2.5682215463084912</v>
      </c>
      <c r="BC39" s="96">
        <f t="shared" ca="1" si="32"/>
        <v>1.3584964058778015</v>
      </c>
      <c r="BD39" s="96" t="e">
        <f t="shared" ca="1" si="32"/>
        <v>#N/A</v>
      </c>
      <c r="BE39" s="96" t="e">
        <f t="shared" ca="1" si="32"/>
        <v>#N/A</v>
      </c>
    </row>
    <row r="41" spans="1:57">
      <c r="A41" s="98" t="s">
        <v>1114</v>
      </c>
      <c r="C41" s="92" t="str">
        <f>IF(B4=0,"&lt;none&gt;",C4)</f>
        <v>&lt;none&gt;</v>
      </c>
    </row>
    <row r="42" spans="1:57">
      <c r="B42" s="92" t="s">
        <v>1102</v>
      </c>
      <c r="C42" s="97" t="e">
        <f>IF(C41="&lt;none&gt;",NA(),INDEX(C15:BE15,0,$B$4))</f>
        <v>#N/A</v>
      </c>
    </row>
    <row r="43" spans="1:57">
      <c r="B43" s="92" t="s">
        <v>1103</v>
      </c>
      <c r="C43" s="97" t="e">
        <f>IF(C41="&lt;none&gt;",NA(),INDEX(C16:BE16,0,$B$4))</f>
        <v>#N/A</v>
      </c>
    </row>
    <row r="45" spans="1:57">
      <c r="C45" s="93" t="s">
        <v>1115</v>
      </c>
      <c r="D45" s="93" t="s">
        <v>1116</v>
      </c>
    </row>
    <row r="46" spans="1:57">
      <c r="A46" s="98" t="s">
        <v>1117</v>
      </c>
      <c r="C46" s="97">
        <f ca="1">MAX(C26:BE26)</f>
        <v>17.072095178750963</v>
      </c>
      <c r="D46" s="97">
        <f ca="1">MIN(C26:BE26)</f>
        <v>-29.955603819124775</v>
      </c>
    </row>
    <row r="47" spans="1:57">
      <c r="C47" s="97">
        <f ca="1">MATCH(C46,C26:BE26,0)</f>
        <v>12</v>
      </c>
      <c r="D47" s="97">
        <f ca="1">MATCH(D46,C26:BE26,0)</f>
        <v>36</v>
      </c>
    </row>
    <row r="48" spans="1:57">
      <c r="C48" s="97" t="str">
        <f ca="1">IF(OR(NOT(B5),C46&lt;=0),"",INDEX(C12:BE12,0,C47))</f>
        <v/>
      </c>
      <c r="D48" s="97" t="str">
        <f ca="1">IF(OR(NOT(B5),D46&gt;=0),"",INDEX(C12:BE12,0,D47))</f>
        <v/>
      </c>
    </row>
    <row r="49" spans="1:57">
      <c r="C49" s="97" t="e">
        <f ca="1">IF(C48="",NA(),INDEX(C15:BE15,0,C47))</f>
        <v>#N/A</v>
      </c>
      <c r="D49" s="97" t="e">
        <f ca="1">IF(D48="",NA(),INDEX(C15:BE15,0,D47))</f>
        <v>#N/A</v>
      </c>
    </row>
    <row r="50" spans="1:57">
      <c r="C50" s="97" t="e">
        <f ca="1">IF(C48="",NA(),INDEX(C16:BE16,0,C47))</f>
        <v>#N/A</v>
      </c>
      <c r="D50" s="97" t="e">
        <f ca="1">IF(D48="",NA(),INDEX(C16:BE16,0,D47))</f>
        <v>#N/A</v>
      </c>
    </row>
    <row r="53" spans="1:57">
      <c r="A53" s="98" t="s">
        <v>1118</v>
      </c>
    </row>
    <row r="54" spans="1:57">
      <c r="A54" s="93" t="s">
        <v>946</v>
      </c>
      <c r="B54" s="92">
        <f ca="1">uxb_settings!B17</f>
        <v>3</v>
      </c>
    </row>
    <row r="55" spans="1:57">
      <c r="A55" s="98"/>
    </row>
    <row r="56" spans="1:57">
      <c r="A56" s="92" t="s">
        <v>1102</v>
      </c>
      <c r="B56" s="92">
        <f>B54</f>
        <v>3</v>
      </c>
      <c r="C56" s="95">
        <f t="shared" ref="C56:AH56" ca="1" si="33">IF(C$13=0,NA(),INDEX(norm_data,$B56,C$11))</f>
        <v>37.5</v>
      </c>
      <c r="D56" s="95">
        <f t="shared" ca="1" si="33"/>
        <v>53.1</v>
      </c>
      <c r="E56" s="95">
        <f t="shared" ca="1" si="33"/>
        <v>36.4</v>
      </c>
      <c r="F56" s="95">
        <f t="shared" ca="1" si="33"/>
        <v>42.5</v>
      </c>
      <c r="G56" s="95">
        <f t="shared" ca="1" si="33"/>
        <v>46.1</v>
      </c>
      <c r="H56" s="95">
        <f t="shared" ca="1" si="33"/>
        <v>65.599999999999994</v>
      </c>
      <c r="I56" s="95">
        <f t="shared" ca="1" si="33"/>
        <v>53.6</v>
      </c>
      <c r="J56" s="95">
        <f t="shared" ca="1" si="33"/>
        <v>45.6</v>
      </c>
      <c r="K56" s="95">
        <f t="shared" ca="1" si="33"/>
        <v>24.7</v>
      </c>
      <c r="L56" s="95">
        <f t="shared" ca="1" si="33"/>
        <v>73.3</v>
      </c>
      <c r="M56" s="95">
        <f t="shared" ca="1" si="33"/>
        <v>33.1</v>
      </c>
      <c r="N56" s="95">
        <f t="shared" ca="1" si="33"/>
        <v>51.4</v>
      </c>
      <c r="O56" s="95">
        <f t="shared" ca="1" si="33"/>
        <v>58.1</v>
      </c>
      <c r="P56" s="95">
        <f t="shared" ca="1" si="33"/>
        <v>35</v>
      </c>
      <c r="Q56" s="95">
        <f t="shared" ca="1" si="33"/>
        <v>25.8</v>
      </c>
      <c r="R56" s="95">
        <f t="shared" ca="1" si="33"/>
        <v>27.5</v>
      </c>
      <c r="S56" s="95">
        <f t="shared" ca="1" si="33"/>
        <v>45.8</v>
      </c>
      <c r="T56" s="95">
        <f t="shared" ca="1" si="33"/>
        <v>35.299999999999997</v>
      </c>
      <c r="U56" s="95">
        <f t="shared" ca="1" si="33"/>
        <v>46.1</v>
      </c>
      <c r="V56" s="95">
        <f t="shared" ca="1" si="33"/>
        <v>54.4</v>
      </c>
      <c r="W56" s="95">
        <f t="shared" ca="1" si="33"/>
        <v>42.5</v>
      </c>
      <c r="X56" s="95">
        <f t="shared" ca="1" si="33"/>
        <v>29.4</v>
      </c>
      <c r="Y56" s="95">
        <f t="shared" ca="1" si="33"/>
        <v>29.7</v>
      </c>
      <c r="Z56" s="95">
        <f t="shared" ca="1" si="33"/>
        <v>51.9</v>
      </c>
      <c r="AA56" s="95">
        <f t="shared" ca="1" si="33"/>
        <v>38.299999999999997</v>
      </c>
      <c r="AB56" s="95">
        <f t="shared" ca="1" si="33"/>
        <v>51.7</v>
      </c>
      <c r="AC56" s="95">
        <f t="shared" ca="1" si="33"/>
        <v>50</v>
      </c>
      <c r="AD56" s="95">
        <f t="shared" ca="1" si="33"/>
        <v>35</v>
      </c>
      <c r="AE56" s="95">
        <f t="shared" ca="1" si="33"/>
        <v>38.299999999999997</v>
      </c>
      <c r="AF56" s="95">
        <f t="shared" ca="1" si="33"/>
        <v>28.1</v>
      </c>
      <c r="AG56" s="95">
        <f t="shared" ca="1" si="33"/>
        <v>57.5</v>
      </c>
      <c r="AH56" s="95">
        <f t="shared" ca="1" si="33"/>
        <v>45.6</v>
      </c>
      <c r="AI56" s="95">
        <f t="shared" ref="AI56:BE56" ca="1" si="34">IF(AI$13=0,NA(),INDEX(norm_data,$B56,AI$11))</f>
        <v>59.7</v>
      </c>
      <c r="AJ56" s="95">
        <f t="shared" ca="1" si="34"/>
        <v>38.9</v>
      </c>
      <c r="AK56" s="95">
        <f t="shared" ca="1" si="34"/>
        <v>20.8</v>
      </c>
      <c r="AL56" s="95">
        <f t="shared" ca="1" si="34"/>
        <v>47.5</v>
      </c>
      <c r="AM56" s="95">
        <f t="shared" ca="1" si="34"/>
        <v>34.200000000000003</v>
      </c>
      <c r="AN56" s="95">
        <f t="shared" ca="1" si="34"/>
        <v>49.2</v>
      </c>
      <c r="AO56" s="95">
        <f t="shared" ca="1" si="34"/>
        <v>58.3</v>
      </c>
      <c r="AP56" s="95">
        <f t="shared" ca="1" si="34"/>
        <v>38.9</v>
      </c>
      <c r="AQ56" s="95">
        <f t="shared" ca="1" si="34"/>
        <v>56.4</v>
      </c>
      <c r="AR56" s="95">
        <f t="shared" ca="1" si="34"/>
        <v>50.6</v>
      </c>
      <c r="AS56" s="95">
        <f t="shared" ca="1" si="34"/>
        <v>30.3</v>
      </c>
      <c r="AT56" s="95">
        <f t="shared" ca="1" si="34"/>
        <v>41.9</v>
      </c>
      <c r="AU56" s="95">
        <f t="shared" ca="1" si="34"/>
        <v>39.4</v>
      </c>
      <c r="AV56" s="95">
        <f t="shared" ca="1" si="34"/>
        <v>30.8</v>
      </c>
      <c r="AW56" s="95">
        <f t="shared" ca="1" si="34"/>
        <v>37.799999999999997</v>
      </c>
      <c r="AX56" s="95">
        <f t="shared" ca="1" si="34"/>
        <v>31.1</v>
      </c>
      <c r="AY56" s="95">
        <f t="shared" ca="1" si="34"/>
        <v>56.1</v>
      </c>
      <c r="AZ56" s="95">
        <f t="shared" ca="1" si="34"/>
        <v>68.099999999999994</v>
      </c>
      <c r="BA56" s="95">
        <f t="shared" ca="1" si="34"/>
        <v>54.2</v>
      </c>
      <c r="BB56" s="95">
        <f t="shared" ca="1" si="34"/>
        <v>45.8</v>
      </c>
      <c r="BC56" s="95">
        <f t="shared" ca="1" si="34"/>
        <v>37.200000000000003</v>
      </c>
      <c r="BD56" s="95">
        <f t="shared" ca="1" si="34"/>
        <v>28.6</v>
      </c>
      <c r="BE56" s="95">
        <f t="shared" ca="1" si="34"/>
        <v>35.6</v>
      </c>
    </row>
    <row r="57" spans="1:57">
      <c r="A57" s="98"/>
    </row>
    <row r="58" spans="1:57">
      <c r="B58" s="92" t="s">
        <v>1102</v>
      </c>
      <c r="C58" s="95">
        <f t="shared" ref="C58:AH58" ca="1" si="35">IF(C56="",NA(),C56)</f>
        <v>37.5</v>
      </c>
      <c r="D58" s="95">
        <f t="shared" ca="1" si="35"/>
        <v>53.1</v>
      </c>
      <c r="E58" s="95">
        <f t="shared" ca="1" si="35"/>
        <v>36.4</v>
      </c>
      <c r="F58" s="95">
        <f t="shared" ca="1" si="35"/>
        <v>42.5</v>
      </c>
      <c r="G58" s="95">
        <f t="shared" ca="1" si="35"/>
        <v>46.1</v>
      </c>
      <c r="H58" s="95">
        <f t="shared" ca="1" si="35"/>
        <v>65.599999999999994</v>
      </c>
      <c r="I58" s="95">
        <f t="shared" ca="1" si="35"/>
        <v>53.6</v>
      </c>
      <c r="J58" s="95">
        <f t="shared" ca="1" si="35"/>
        <v>45.6</v>
      </c>
      <c r="K58" s="95">
        <f t="shared" ca="1" si="35"/>
        <v>24.7</v>
      </c>
      <c r="L58" s="95">
        <f t="shared" ca="1" si="35"/>
        <v>73.3</v>
      </c>
      <c r="M58" s="95">
        <f t="shared" ca="1" si="35"/>
        <v>33.1</v>
      </c>
      <c r="N58" s="95">
        <f t="shared" ca="1" si="35"/>
        <v>51.4</v>
      </c>
      <c r="O58" s="95">
        <f t="shared" ca="1" si="35"/>
        <v>58.1</v>
      </c>
      <c r="P58" s="95">
        <f t="shared" ca="1" si="35"/>
        <v>35</v>
      </c>
      <c r="Q58" s="95">
        <f t="shared" ca="1" si="35"/>
        <v>25.8</v>
      </c>
      <c r="R58" s="95">
        <f t="shared" ca="1" si="35"/>
        <v>27.5</v>
      </c>
      <c r="S58" s="95">
        <f t="shared" ca="1" si="35"/>
        <v>45.8</v>
      </c>
      <c r="T58" s="95">
        <f t="shared" ca="1" si="35"/>
        <v>35.299999999999997</v>
      </c>
      <c r="U58" s="95">
        <f t="shared" ca="1" si="35"/>
        <v>46.1</v>
      </c>
      <c r="V58" s="95">
        <f t="shared" ca="1" si="35"/>
        <v>54.4</v>
      </c>
      <c r="W58" s="95">
        <f t="shared" ca="1" si="35"/>
        <v>42.5</v>
      </c>
      <c r="X58" s="95">
        <f t="shared" ca="1" si="35"/>
        <v>29.4</v>
      </c>
      <c r="Y58" s="95">
        <f t="shared" ca="1" si="35"/>
        <v>29.7</v>
      </c>
      <c r="Z58" s="95">
        <f t="shared" ca="1" si="35"/>
        <v>51.9</v>
      </c>
      <c r="AA58" s="95">
        <f t="shared" ca="1" si="35"/>
        <v>38.299999999999997</v>
      </c>
      <c r="AB58" s="95">
        <f t="shared" ca="1" si="35"/>
        <v>51.7</v>
      </c>
      <c r="AC58" s="95">
        <f t="shared" ca="1" si="35"/>
        <v>50</v>
      </c>
      <c r="AD58" s="95">
        <f t="shared" ca="1" si="35"/>
        <v>35</v>
      </c>
      <c r="AE58" s="95">
        <f t="shared" ca="1" si="35"/>
        <v>38.299999999999997</v>
      </c>
      <c r="AF58" s="95">
        <f t="shared" ca="1" si="35"/>
        <v>28.1</v>
      </c>
      <c r="AG58" s="95">
        <f t="shared" ca="1" si="35"/>
        <v>57.5</v>
      </c>
      <c r="AH58" s="95">
        <f t="shared" ca="1" si="35"/>
        <v>45.6</v>
      </c>
      <c r="AI58" s="95">
        <f t="shared" ref="AI58:BE58" ca="1" si="36">IF(AI56="",NA(),AI56)</f>
        <v>59.7</v>
      </c>
      <c r="AJ58" s="95">
        <f t="shared" ca="1" si="36"/>
        <v>38.9</v>
      </c>
      <c r="AK58" s="95">
        <f t="shared" ca="1" si="36"/>
        <v>20.8</v>
      </c>
      <c r="AL58" s="95">
        <f t="shared" ca="1" si="36"/>
        <v>47.5</v>
      </c>
      <c r="AM58" s="95">
        <f t="shared" ca="1" si="36"/>
        <v>34.200000000000003</v>
      </c>
      <c r="AN58" s="95">
        <f t="shared" ca="1" si="36"/>
        <v>49.2</v>
      </c>
      <c r="AO58" s="95">
        <f t="shared" ca="1" si="36"/>
        <v>58.3</v>
      </c>
      <c r="AP58" s="95">
        <f t="shared" ca="1" si="36"/>
        <v>38.9</v>
      </c>
      <c r="AQ58" s="95">
        <f t="shared" ca="1" si="36"/>
        <v>56.4</v>
      </c>
      <c r="AR58" s="95">
        <f t="shared" ca="1" si="36"/>
        <v>50.6</v>
      </c>
      <c r="AS58" s="95">
        <f t="shared" ca="1" si="36"/>
        <v>30.3</v>
      </c>
      <c r="AT58" s="95">
        <f t="shared" ca="1" si="36"/>
        <v>41.9</v>
      </c>
      <c r="AU58" s="95">
        <f t="shared" ca="1" si="36"/>
        <v>39.4</v>
      </c>
      <c r="AV58" s="95">
        <f t="shared" ca="1" si="36"/>
        <v>30.8</v>
      </c>
      <c r="AW58" s="95">
        <f t="shared" ca="1" si="36"/>
        <v>37.799999999999997</v>
      </c>
      <c r="AX58" s="95">
        <f t="shared" ca="1" si="36"/>
        <v>31.1</v>
      </c>
      <c r="AY58" s="95">
        <f t="shared" ca="1" si="36"/>
        <v>56.1</v>
      </c>
      <c r="AZ58" s="95">
        <f t="shared" ca="1" si="36"/>
        <v>68.099999999999994</v>
      </c>
      <c r="BA58" s="95">
        <f t="shared" ca="1" si="36"/>
        <v>54.2</v>
      </c>
      <c r="BB58" s="95">
        <f t="shared" ca="1" si="36"/>
        <v>45.8</v>
      </c>
      <c r="BC58" s="95">
        <f t="shared" ca="1" si="36"/>
        <v>37.200000000000003</v>
      </c>
      <c r="BD58" s="95">
        <f t="shared" ca="1" si="36"/>
        <v>28.6</v>
      </c>
      <c r="BE58" s="95">
        <f t="shared" ca="1" si="36"/>
        <v>35.6</v>
      </c>
    </row>
    <row r="59" spans="1:57">
      <c r="B59" s="92" t="s">
        <v>1103</v>
      </c>
      <c r="C59" s="92">
        <v>1</v>
      </c>
      <c r="D59" s="92">
        <v>1</v>
      </c>
      <c r="E59" s="92">
        <v>1</v>
      </c>
      <c r="F59" s="92">
        <v>1</v>
      </c>
      <c r="G59" s="92">
        <v>1</v>
      </c>
      <c r="H59" s="92">
        <v>1</v>
      </c>
      <c r="I59" s="92">
        <v>1</v>
      </c>
      <c r="J59" s="92">
        <v>1</v>
      </c>
      <c r="K59" s="92">
        <v>1</v>
      </c>
      <c r="L59" s="92">
        <v>1</v>
      </c>
      <c r="M59" s="92">
        <v>1</v>
      </c>
      <c r="N59" s="92">
        <v>1</v>
      </c>
      <c r="O59" s="92">
        <v>1</v>
      </c>
      <c r="P59" s="92">
        <v>1</v>
      </c>
      <c r="Q59" s="92">
        <v>1</v>
      </c>
      <c r="R59" s="92">
        <v>1</v>
      </c>
      <c r="S59" s="92">
        <v>1</v>
      </c>
      <c r="T59" s="92">
        <v>1</v>
      </c>
      <c r="U59" s="92">
        <v>1</v>
      </c>
      <c r="V59" s="92">
        <v>1</v>
      </c>
      <c r="W59" s="92">
        <v>1</v>
      </c>
      <c r="X59" s="92">
        <v>1</v>
      </c>
      <c r="Y59" s="92">
        <v>1</v>
      </c>
      <c r="Z59" s="92">
        <v>1</v>
      </c>
      <c r="AA59" s="92">
        <v>1</v>
      </c>
      <c r="AB59" s="92">
        <v>1</v>
      </c>
      <c r="AC59" s="92">
        <v>1</v>
      </c>
      <c r="AD59" s="92">
        <v>1</v>
      </c>
      <c r="AE59" s="92">
        <v>1</v>
      </c>
      <c r="AF59" s="92">
        <v>1</v>
      </c>
      <c r="AG59" s="92">
        <v>2</v>
      </c>
      <c r="AH59" s="92">
        <v>3</v>
      </c>
      <c r="AI59" s="92">
        <v>4</v>
      </c>
      <c r="AJ59" s="92">
        <v>5</v>
      </c>
      <c r="AK59" s="92">
        <v>6</v>
      </c>
      <c r="AL59" s="92">
        <v>7</v>
      </c>
      <c r="AM59" s="92">
        <v>8</v>
      </c>
      <c r="AN59" s="92">
        <v>9</v>
      </c>
      <c r="AO59" s="92">
        <v>10</v>
      </c>
      <c r="AP59" s="92">
        <v>11</v>
      </c>
      <c r="AQ59" s="92">
        <v>12</v>
      </c>
      <c r="AR59" s="92">
        <v>13</v>
      </c>
      <c r="AS59" s="92">
        <v>14</v>
      </c>
      <c r="AT59" s="92">
        <v>15</v>
      </c>
      <c r="AU59" s="92">
        <v>16</v>
      </c>
      <c r="AV59" s="92">
        <v>17</v>
      </c>
      <c r="AW59" s="92">
        <v>18</v>
      </c>
      <c r="AX59" s="92">
        <v>19</v>
      </c>
      <c r="AY59" s="92">
        <v>20</v>
      </c>
      <c r="AZ59" s="92">
        <v>21</v>
      </c>
      <c r="BA59" s="92">
        <v>22</v>
      </c>
      <c r="BB59" s="92">
        <v>23</v>
      </c>
      <c r="BC59" s="92">
        <v>24</v>
      </c>
      <c r="BD59" s="92">
        <v>25</v>
      </c>
      <c r="BE59" s="92">
        <v>26</v>
      </c>
    </row>
  </sheetData>
  <phoneticPr fontId="10" type="noConversion"/>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9"/>
  <dimension ref="A1:K26"/>
  <sheetViews>
    <sheetView showGridLines="0" showRowColHeaders="0" workbookViewId="0">
      <selection activeCell="E9" sqref="E9"/>
    </sheetView>
  </sheetViews>
  <sheetFormatPr defaultRowHeight="12.75"/>
  <cols>
    <col min="1" max="1" width="2" customWidth="1"/>
    <col min="2" max="2" width="26.42578125" customWidth="1"/>
    <col min="3" max="4" width="2.85546875" customWidth="1"/>
    <col min="5" max="5" width="56.5703125" bestFit="1" customWidth="1"/>
    <col min="6" max="6" width="6.7109375" customWidth="1"/>
    <col min="7" max="7" width="2.5703125" customWidth="1"/>
  </cols>
  <sheetData>
    <row r="1" spans="1:7" ht="21">
      <c r="A1" s="123" t="s">
        <v>1163</v>
      </c>
      <c r="B1" s="123"/>
      <c r="C1" s="123"/>
      <c r="E1" s="62" t="str">
        <f ca="1">uxb_settings!C12</f>
        <v>DRC</v>
      </c>
    </row>
    <row r="2" spans="1:7">
      <c r="A2" s="26"/>
      <c r="B2" s="26"/>
      <c r="C2" s="27"/>
    </row>
    <row r="3" spans="1:7">
      <c r="A3" s="26"/>
      <c r="B3" s="113" t="s">
        <v>1172</v>
      </c>
      <c r="C3" s="27"/>
      <c r="E3" s="156" t="s">
        <v>1147</v>
      </c>
      <c r="F3" s="205">
        <f ca="1">i_country!E6</f>
        <v>36.799999999999997</v>
      </c>
    </row>
    <row r="4" spans="1:7" ht="15.75" customHeight="1">
      <c r="A4" s="26"/>
      <c r="B4" s="26"/>
      <c r="C4" s="27"/>
      <c r="E4" s="157" t="s">
        <v>1129</v>
      </c>
      <c r="F4" s="206">
        <f ca="1">i_country!E7</f>
        <v>62.5</v>
      </c>
    </row>
    <row r="5" spans="1:7">
      <c r="A5" s="26"/>
      <c r="B5" s="26"/>
      <c r="C5" s="27"/>
      <c r="E5" s="159" t="str">
        <f ca="1">i_country!E13</f>
        <v>Regulation of microcredit operations</v>
      </c>
      <c r="F5" s="207">
        <f ca="1">i_country!F13</f>
        <v>2</v>
      </c>
    </row>
    <row r="6" spans="1:7">
      <c r="A6" s="26"/>
      <c r="B6" s="26"/>
      <c r="C6" s="27"/>
      <c r="E6" s="159" t="str">
        <f ca="1">i_country!E14</f>
        <v>Formation and operation of regulated, specialised MFIs</v>
      </c>
      <c r="F6" s="207">
        <f ca="1">i_country!F14</f>
        <v>3</v>
      </c>
      <c r="G6" s="49"/>
    </row>
    <row r="7" spans="1:7">
      <c r="A7" s="26"/>
      <c r="B7" s="26"/>
      <c r="C7" s="27"/>
      <c r="E7" s="159" t="str">
        <f ca="1">i_country!E15</f>
        <v>Formation and operation of non-regulated MFIs</v>
      </c>
      <c r="F7" s="207">
        <f ca="1">i_country!F15</f>
        <v>3</v>
      </c>
      <c r="G7" s="49"/>
    </row>
    <row r="8" spans="1:7">
      <c r="A8" s="26"/>
      <c r="B8" s="26"/>
      <c r="C8" s="27"/>
      <c r="E8" s="159" t="str">
        <f ca="1">i_country!E16</f>
        <v>Regulatory and examination capacity</v>
      </c>
      <c r="F8" s="207">
        <f ca="1">i_country!F16</f>
        <v>2</v>
      </c>
      <c r="G8" s="111"/>
    </row>
    <row r="9" spans="1:7" ht="18" customHeight="1">
      <c r="A9" s="26"/>
      <c r="B9" s="26"/>
      <c r="C9" s="27"/>
      <c r="E9" s="161" t="s">
        <v>912</v>
      </c>
      <c r="F9" s="208">
        <f ca="1">i_country!E8</f>
        <v>25.8</v>
      </c>
      <c r="G9" s="111"/>
    </row>
    <row r="10" spans="1:7">
      <c r="A10" s="26"/>
      <c r="B10" s="26"/>
      <c r="C10" s="27"/>
      <c r="E10" s="159" t="str">
        <f ca="1">i_country!E17</f>
        <v>Political stability</v>
      </c>
      <c r="F10" s="207">
        <f ca="1">i_country!F17</f>
        <v>1.2</v>
      </c>
      <c r="G10" s="111"/>
    </row>
    <row r="11" spans="1:7">
      <c r="A11" s="26"/>
      <c r="B11" s="26"/>
      <c r="C11" s="27"/>
      <c r="E11" s="159" t="str">
        <f ca="1">i_country!E18</f>
        <v>Capital market development</v>
      </c>
      <c r="F11" s="207">
        <f ca="1">i_country!F18</f>
        <v>1</v>
      </c>
      <c r="G11" s="111"/>
    </row>
    <row r="12" spans="1:7">
      <c r="A12" s="26"/>
      <c r="B12" s="26"/>
      <c r="C12" s="27"/>
      <c r="E12" s="159" t="str">
        <f ca="1">i_country!E19</f>
        <v>Judicial system</v>
      </c>
      <c r="F12" s="207">
        <f ca="1">i_country!F19</f>
        <v>0</v>
      </c>
      <c r="G12" s="111"/>
    </row>
    <row r="13" spans="1:7">
      <c r="A13" s="26"/>
      <c r="B13" s="26"/>
      <c r="C13" s="27"/>
      <c r="E13" s="159" t="str">
        <f ca="1">i_country!E20</f>
        <v>Accounting standards</v>
      </c>
      <c r="F13" s="207">
        <f ca="1">i_country!F20</f>
        <v>1</v>
      </c>
      <c r="G13" s="111"/>
    </row>
    <row r="14" spans="1:7">
      <c r="A14" s="26"/>
      <c r="B14" s="26"/>
      <c r="C14" s="27"/>
      <c r="E14" s="159" t="str">
        <f ca="1">i_country!E21</f>
        <v>Governance standards</v>
      </c>
      <c r="F14" s="207">
        <f ca="1">i_country!F21</f>
        <v>1</v>
      </c>
      <c r="G14" s="111"/>
    </row>
    <row r="15" spans="1:7">
      <c r="A15" s="26"/>
      <c r="B15" s="26"/>
      <c r="C15" s="27"/>
      <c r="E15" s="159" t="str">
        <f ca="1">i_country!E22</f>
        <v>MFI transparency</v>
      </c>
      <c r="F15" s="207">
        <f ca="1">i_country!F22</f>
        <v>2</v>
      </c>
      <c r="G15" s="111"/>
    </row>
    <row r="16" spans="1:7" ht="18.75" customHeight="1">
      <c r="A16" s="26"/>
      <c r="B16" s="26"/>
      <c r="C16" s="27"/>
      <c r="E16" s="162" t="s">
        <v>1130</v>
      </c>
      <c r="F16" s="208">
        <f ca="1">i_country!E9</f>
        <v>16.7</v>
      </c>
      <c r="G16" s="111"/>
    </row>
    <row r="17" spans="1:11">
      <c r="A17" s="26"/>
      <c r="B17" s="26"/>
      <c r="C17" s="27"/>
      <c r="E17" s="159" t="str">
        <f ca="1">i_country!E23</f>
        <v>Range of MFI Services</v>
      </c>
      <c r="F17" s="207">
        <f ca="1">i_country!F23</f>
        <v>2</v>
      </c>
      <c r="G17" s="111"/>
    </row>
    <row r="18" spans="1:11">
      <c r="A18" s="26"/>
      <c r="B18" s="113"/>
      <c r="C18" s="27"/>
      <c r="E18" s="159" t="str">
        <f ca="1">i_country!E24</f>
        <v>Credit bureaus</v>
      </c>
      <c r="F18" s="207">
        <f ca="1">i_country!F24</f>
        <v>0</v>
      </c>
      <c r="G18" s="111"/>
    </row>
    <row r="19" spans="1:11">
      <c r="A19" s="26"/>
      <c r="B19" s="26"/>
      <c r="C19" s="27"/>
      <c r="E19" s="159" t="str">
        <f ca="1">i_country!E25</f>
        <v>Level of competition</v>
      </c>
      <c r="F19" s="207">
        <f ca="1">i_country!F25</f>
        <v>0</v>
      </c>
      <c r="G19" s="111"/>
    </row>
    <row r="20" spans="1:11">
      <c r="A20" s="26"/>
      <c r="B20" s="26"/>
      <c r="C20" s="27"/>
      <c r="E20" s="159"/>
      <c r="F20" s="197"/>
      <c r="G20" s="111"/>
    </row>
    <row r="21" spans="1:11">
      <c r="A21" s="26"/>
      <c r="B21" s="26"/>
      <c r="C21" s="27"/>
      <c r="E21" s="159" t="str">
        <f ca="1">i_country!E26</f>
        <v>MFI clients as % of population</v>
      </c>
      <c r="F21" s="197">
        <f ca="1">i_country!F26</f>
        <v>9.939743589743591E-2</v>
      </c>
      <c r="G21" s="111"/>
    </row>
    <row r="22" spans="1:11">
      <c r="A22" s="26"/>
      <c r="B22" s="26"/>
      <c r="C22" s="27"/>
      <c r="E22" s="159" t="str">
        <f ca="1">i_country!E27</f>
        <v>MFI clients as % of microenterprises</v>
      </c>
      <c r="F22" s="197" t="str">
        <f ca="1">i_country!F27</f>
        <v>n/a</v>
      </c>
      <c r="G22" s="111"/>
    </row>
    <row r="23" spans="1:11">
      <c r="A23" s="26"/>
      <c r="B23" s="26"/>
      <c r="C23" s="27"/>
      <c r="G23" s="111"/>
    </row>
    <row r="24" spans="1:11" ht="15">
      <c r="A24" s="26"/>
      <c r="B24" s="113" t="s">
        <v>714</v>
      </c>
      <c r="C24" s="27"/>
      <c r="E24" s="112" t="str">
        <f ca="1">UPPER(i_country!K10)</f>
        <v>REGULATION OF MICROCREDIT OPERATIONS</v>
      </c>
      <c r="F24" s="49"/>
      <c r="G24" s="111"/>
    </row>
    <row r="25" spans="1:11" ht="285" customHeight="1">
      <c r="A25" s="26"/>
      <c r="B25" s="26"/>
      <c r="C25" s="27"/>
      <c r="E25" s="222" t="str">
        <f ca="1">i_country!K11</f>
        <v>The banking industry is still in its infancy following the country’s emergence from civil war in the late 1990s. The legal justification for the regulation of the banking industry is Banking Act (No. 003-2002) and for microfinance institutions (MFIs) specifically there is a directive entitled Instruction No. 001, December 2005, which classifies MFIs into three categories of varying development: Category 1: MF enterprises, credit services only; Category 2: MF enterprises, credit and savings services, for-profit; Category 3: MF corporations, must be for-profit, limited liability companies. The regulator of the finance industry is the Banque Centrale du Congo (BCC, the Central Bank), as outlined by the Banking Act 2002. At present, there are no interest rate caps, reporting is burdensome, but not prohibitive, and the minimum capital requirements are tiered for different institutions and are low: US$15,000 for Category 1 and up to US$100,000 for Category 3 MFIs. However, registration and licensing of commercial banks, including those offering microfinance products, requires the approval of the president, Joseph Kabila, and can take up to 18 months. The majority of funding for the banking sector comes from abroad, as the DRC's public sector does not have the resources to promote microfinance and many donor organisations (USAID, DfID, CIDA, GTZ, and others) are willing to do so. However, most of these are grants for technical assistance, and not working capital per se. (CGAP diagnostic report 2007; personal interview: June 2009.)</v>
      </c>
      <c r="F25" s="223"/>
      <c r="G25" s="223"/>
      <c r="H25" s="223"/>
      <c r="I25" s="223"/>
      <c r="J25" s="223"/>
      <c r="K25" s="223"/>
    </row>
    <row r="26" spans="1:11">
      <c r="A26" s="28"/>
      <c r="B26" s="28"/>
      <c r="C26" s="29"/>
    </row>
  </sheetData>
  <sheetProtection password="B7E9" sheet="1" objects="1" scenarios="1" selectLockedCells="1" selectUnlockedCells="1"/>
  <mergeCells count="1">
    <mergeCell ref="E25:K25"/>
  </mergeCells>
  <phoneticPr fontId="10" type="noConversion"/>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sheetPr codeName="Sheet23"/>
  <dimension ref="A1:N24"/>
  <sheetViews>
    <sheetView showGridLines="0" showRowColHeaders="0" workbookViewId="0">
      <selection activeCell="E17" sqref="E17"/>
    </sheetView>
  </sheetViews>
  <sheetFormatPr defaultRowHeight="12.75"/>
  <cols>
    <col min="1" max="1" width="2" customWidth="1"/>
    <col min="2" max="2" width="28.85546875" customWidth="1"/>
    <col min="3" max="3" width="2.85546875" customWidth="1"/>
    <col min="4" max="4" width="5.28515625" customWidth="1"/>
    <col min="5" max="5" width="56.5703125" bestFit="1" customWidth="1"/>
    <col min="6" max="6" width="5" bestFit="1" customWidth="1"/>
    <col min="7" max="7" width="2.5703125" hidden="1" customWidth="1"/>
    <col min="8" max="8" width="1.85546875" customWidth="1"/>
    <col min="9" max="9" width="3.85546875" customWidth="1"/>
    <col min="10" max="10" width="6.42578125" customWidth="1"/>
    <col min="11" max="11" width="5" hidden="1" customWidth="1"/>
    <col min="12" max="12" width="2" customWidth="1"/>
    <col min="13" max="13" width="4.42578125" bestFit="1" customWidth="1"/>
    <col min="14" max="14" width="6.5703125" customWidth="1"/>
  </cols>
  <sheetData>
    <row r="1" spans="1:14" ht="21">
      <c r="A1" s="123" t="s">
        <v>1179</v>
      </c>
      <c r="B1" s="123"/>
      <c r="C1" s="123"/>
      <c r="E1" s="62" t="str">
        <f ca="1">uxb_settings!B55</f>
        <v>Argentina</v>
      </c>
    </row>
    <row r="2" spans="1:14">
      <c r="A2" s="26"/>
      <c r="B2" s="26"/>
      <c r="C2" s="27"/>
      <c r="E2" s="173"/>
      <c r="F2" s="174"/>
      <c r="G2" s="174"/>
      <c r="H2" s="174"/>
      <c r="I2" s="174"/>
      <c r="J2" s="174"/>
      <c r="K2" s="174"/>
      <c r="L2" s="174"/>
      <c r="M2" s="174"/>
      <c r="N2" s="174"/>
    </row>
    <row r="3" spans="1:14">
      <c r="A3" s="26"/>
      <c r="B3" s="113" t="s">
        <v>1172</v>
      </c>
      <c r="C3" s="27"/>
      <c r="E3" s="156"/>
      <c r="F3" s="172">
        <v>2009</v>
      </c>
      <c r="G3" s="172"/>
      <c r="H3" s="172"/>
      <c r="I3" s="172"/>
      <c r="J3" s="172">
        <v>2008</v>
      </c>
      <c r="K3" s="172"/>
      <c r="L3" s="172"/>
      <c r="M3" s="172"/>
      <c r="N3" s="172">
        <v>2007</v>
      </c>
    </row>
    <row r="4" spans="1:14" ht="15">
      <c r="A4" s="26"/>
      <c r="B4" s="26"/>
      <c r="C4" s="27"/>
      <c r="E4" s="177" t="str">
        <f ca="1">i_country!D42</f>
        <v>Overall score</v>
      </c>
      <c r="F4" s="178">
        <f ca="1">i_country!I42</f>
        <v>30.8</v>
      </c>
      <c r="G4" s="176">
        <f>IF(J4="-",0,IF(F4=J4,0,IF(F4&gt;J4,1,2)))</f>
        <v>1</v>
      </c>
      <c r="H4" s="186" t="str">
        <f>IF(G4=0,"",IF(G4=1,"▲","▼"))</f>
        <v>▲</v>
      </c>
      <c r="I4" s="187">
        <f>IF(G4=0,"",IF(G4=1,F4-J4,J4-F4))</f>
        <v>2.3000000000000007</v>
      </c>
      <c r="J4" s="178">
        <f ca="1">i_country!J42</f>
        <v>28.5</v>
      </c>
      <c r="K4" s="176">
        <f>IF(N4="-",0,IF(J4=N4,0,IF(J4&gt;N4,1,2)))</f>
        <v>1</v>
      </c>
      <c r="L4" s="186" t="str">
        <f>IF(K4=0,"",IF(K4=1,"▲","▼"))</f>
        <v>▲</v>
      </c>
      <c r="M4" s="187">
        <f>IF(K4=0,"",IF(K4=1,J4-N4,N4-J4))</f>
        <v>1.6000000000000014</v>
      </c>
      <c r="N4" s="178">
        <f ca="1">i_country!K42</f>
        <v>26.9</v>
      </c>
    </row>
    <row r="5" spans="1:14" ht="15.75" customHeight="1">
      <c r="A5" s="26"/>
      <c r="B5" s="26"/>
      <c r="C5" s="27"/>
      <c r="E5" s="179" t="str">
        <f ca="1">i_country!D43</f>
        <v xml:space="preserve">Regulatory Framework </v>
      </c>
      <c r="F5" s="180">
        <f ca="1">i_country!I43</f>
        <v>25</v>
      </c>
      <c r="G5" s="176">
        <f t="shared" ref="G5:G20" si="0">IF(J5="-",0,IF(F5=J5,0,IF(F5&gt;J5,1,2)))</f>
        <v>1</v>
      </c>
      <c r="H5" s="186" t="str">
        <f t="shared" ref="H5:H20" si="1">IF(G5=0,"",IF(G5=1,"▲","▼"))</f>
        <v>▲</v>
      </c>
      <c r="I5" s="187">
        <f t="shared" ref="I5:I20" si="2">IF(G5=0,"",IF(G5=1,F5-J5,J5-F5))</f>
        <v>6.1999999999999993</v>
      </c>
      <c r="J5" s="180">
        <f ca="1">i_country!J43</f>
        <v>18.8</v>
      </c>
      <c r="K5" s="176">
        <f t="shared" ref="K5:K20" si="3">IF(N5="-",0,IF(J5=N5,0,IF(J5&gt;N5,1,2)))</f>
        <v>0</v>
      </c>
      <c r="L5" s="186" t="str">
        <f t="shared" ref="L5:L20" si="4">IF(K5=0,"",IF(K5=1,"▲","▼"))</f>
        <v/>
      </c>
      <c r="M5" s="187" t="str">
        <f t="shared" ref="M5:M20" si="5">IF(K5=0,"",IF(K5=1,J5-N5,N5-J5))</f>
        <v/>
      </c>
      <c r="N5" s="180">
        <f ca="1">i_country!K43</f>
        <v>18.8</v>
      </c>
    </row>
    <row r="6" spans="1:14" ht="15">
      <c r="A6" s="26"/>
      <c r="B6" s="26"/>
      <c r="C6" s="27"/>
      <c r="E6" s="181" t="str">
        <f ca="1">i_country!D44</f>
        <v>Regulation of microcredit operations</v>
      </c>
      <c r="F6" s="182">
        <f ca="1">i_country!I44</f>
        <v>1</v>
      </c>
      <c r="G6" s="176">
        <f t="shared" si="0"/>
        <v>0</v>
      </c>
      <c r="H6" s="186" t="str">
        <f t="shared" si="1"/>
        <v/>
      </c>
      <c r="I6" s="187" t="str">
        <f t="shared" si="2"/>
        <v/>
      </c>
      <c r="J6" s="182">
        <f ca="1">i_country!J44</f>
        <v>1</v>
      </c>
      <c r="K6" s="176">
        <f t="shared" si="3"/>
        <v>0</v>
      </c>
      <c r="L6" s="186" t="str">
        <f t="shared" si="4"/>
        <v/>
      </c>
      <c r="M6" s="187" t="str">
        <f t="shared" si="5"/>
        <v/>
      </c>
      <c r="N6" s="182">
        <f ca="1">i_country!K44</f>
        <v>1</v>
      </c>
    </row>
    <row r="7" spans="1:14" ht="15">
      <c r="A7" s="26"/>
      <c r="B7" s="26"/>
      <c r="C7" s="27"/>
      <c r="E7" s="181" t="str">
        <f ca="1">i_country!D45</f>
        <v>Formation and operation of regulated, specialised MFIs</v>
      </c>
      <c r="F7" s="182">
        <f ca="1">i_country!I45</f>
        <v>1</v>
      </c>
      <c r="G7" s="176">
        <f t="shared" si="0"/>
        <v>0</v>
      </c>
      <c r="H7" s="186" t="str">
        <f t="shared" si="1"/>
        <v/>
      </c>
      <c r="I7" s="187" t="str">
        <f t="shared" si="2"/>
        <v/>
      </c>
      <c r="J7" s="182">
        <f ca="1">i_country!J45</f>
        <v>1</v>
      </c>
      <c r="K7" s="176">
        <f t="shared" si="3"/>
        <v>0</v>
      </c>
      <c r="L7" s="186" t="str">
        <f t="shared" si="4"/>
        <v/>
      </c>
      <c r="M7" s="187" t="str">
        <f t="shared" si="5"/>
        <v/>
      </c>
      <c r="N7" s="182">
        <f ca="1">i_country!K45</f>
        <v>1</v>
      </c>
    </row>
    <row r="8" spans="1:14" ht="15">
      <c r="A8" s="26"/>
      <c r="B8" s="26"/>
      <c r="C8" s="27"/>
      <c r="E8" s="181" t="str">
        <f ca="1">i_country!D46</f>
        <v>Formation and operation of non-regulated MFIs</v>
      </c>
      <c r="F8" s="182">
        <f ca="1">i_country!I46</f>
        <v>1</v>
      </c>
      <c r="G8" s="176">
        <f t="shared" si="0"/>
        <v>0</v>
      </c>
      <c r="H8" s="186" t="str">
        <f t="shared" si="1"/>
        <v/>
      </c>
      <c r="I8" s="187" t="str">
        <f t="shared" si="2"/>
        <v/>
      </c>
      <c r="J8" s="182">
        <f ca="1">i_country!J46</f>
        <v>1</v>
      </c>
      <c r="K8" s="176">
        <f t="shared" si="3"/>
        <v>0</v>
      </c>
      <c r="L8" s="186" t="str">
        <f t="shared" si="4"/>
        <v/>
      </c>
      <c r="M8" s="187" t="str">
        <f t="shared" si="5"/>
        <v/>
      </c>
      <c r="N8" s="182">
        <f ca="1">i_country!K46</f>
        <v>1</v>
      </c>
    </row>
    <row r="9" spans="1:14" ht="15">
      <c r="A9" s="26"/>
      <c r="B9" s="26"/>
      <c r="C9" s="27"/>
      <c r="E9" s="181" t="str">
        <f ca="1">i_country!D47</f>
        <v>Regulatory and examination capacity</v>
      </c>
      <c r="F9" s="182">
        <f ca="1">i_country!I47</f>
        <v>1</v>
      </c>
      <c r="G9" s="176">
        <f t="shared" si="0"/>
        <v>1</v>
      </c>
      <c r="H9" s="186" t="str">
        <f t="shared" si="1"/>
        <v>▲</v>
      </c>
      <c r="I9" s="187">
        <f t="shared" si="2"/>
        <v>1</v>
      </c>
      <c r="J9" s="182">
        <f ca="1">i_country!J47</f>
        <v>0</v>
      </c>
      <c r="K9" s="176">
        <f t="shared" si="3"/>
        <v>0</v>
      </c>
      <c r="L9" s="186" t="str">
        <f t="shared" si="4"/>
        <v/>
      </c>
      <c r="M9" s="187" t="str">
        <f t="shared" si="5"/>
        <v/>
      </c>
      <c r="N9" s="182">
        <f ca="1">i_country!K47</f>
        <v>0</v>
      </c>
    </row>
    <row r="10" spans="1:14" ht="18" customHeight="1">
      <c r="A10" s="26"/>
      <c r="B10" s="26"/>
      <c r="C10" s="27"/>
      <c r="E10" s="183" t="str">
        <f ca="1">i_country!D48</f>
        <v>Investment Climate</v>
      </c>
      <c r="F10" s="184">
        <f ca="1">i_country!I48</f>
        <v>37.5</v>
      </c>
      <c r="G10" s="176">
        <f t="shared" si="0"/>
        <v>2</v>
      </c>
      <c r="H10" s="186" t="str">
        <f t="shared" si="1"/>
        <v>▼</v>
      </c>
      <c r="I10" s="187">
        <f t="shared" si="2"/>
        <v>0.79999999999999716</v>
      </c>
      <c r="J10" s="184">
        <f ca="1">i_country!J48</f>
        <v>38.299999999999997</v>
      </c>
      <c r="K10" s="176">
        <f t="shared" si="3"/>
        <v>2</v>
      </c>
      <c r="L10" s="186" t="str">
        <f t="shared" si="4"/>
        <v>▼</v>
      </c>
      <c r="M10" s="187">
        <f t="shared" si="5"/>
        <v>8.4000000000000057</v>
      </c>
      <c r="N10" s="184">
        <f ca="1">i_country!K48</f>
        <v>46.7</v>
      </c>
    </row>
    <row r="11" spans="1:14" ht="15">
      <c r="A11" s="26"/>
      <c r="B11" s="26"/>
      <c r="C11" s="27"/>
      <c r="E11" s="181" t="str">
        <f ca="1">i_country!D49</f>
        <v>Political stability</v>
      </c>
      <c r="F11" s="182">
        <f ca="1">i_country!I49</f>
        <v>2</v>
      </c>
      <c r="G11" s="176">
        <f t="shared" si="0"/>
        <v>2</v>
      </c>
      <c r="H11" s="186" t="str">
        <f t="shared" si="1"/>
        <v>▼</v>
      </c>
      <c r="I11" s="187">
        <f t="shared" si="2"/>
        <v>0.20000000000000018</v>
      </c>
      <c r="J11" s="182">
        <f ca="1">i_country!J49</f>
        <v>2.2000000000000002</v>
      </c>
      <c r="K11" s="176">
        <f t="shared" si="3"/>
        <v>0</v>
      </c>
      <c r="L11" s="186" t="str">
        <f t="shared" si="4"/>
        <v/>
      </c>
      <c r="M11" s="187" t="str">
        <f t="shared" si="5"/>
        <v/>
      </c>
      <c r="N11" s="182">
        <f ca="1">i_country!K49</f>
        <v>2.2000000000000002</v>
      </c>
    </row>
    <row r="12" spans="1:14" ht="15">
      <c r="A12" s="26"/>
      <c r="B12" s="26"/>
      <c r="C12" s="27"/>
      <c r="E12" s="181" t="str">
        <f ca="1">i_country!D50</f>
        <v>Capital market development</v>
      </c>
      <c r="F12" s="182">
        <f ca="1">i_country!I50</f>
        <v>2</v>
      </c>
      <c r="G12" s="176">
        <f t="shared" si="0"/>
        <v>0</v>
      </c>
      <c r="H12" s="186" t="str">
        <f t="shared" si="1"/>
        <v/>
      </c>
      <c r="I12" s="187" t="str">
        <f t="shared" si="2"/>
        <v/>
      </c>
      <c r="J12" s="182">
        <f ca="1">i_country!J50</f>
        <v>2</v>
      </c>
      <c r="K12" s="176">
        <f t="shared" si="3"/>
        <v>0</v>
      </c>
      <c r="L12" s="186" t="str">
        <f t="shared" si="4"/>
        <v/>
      </c>
      <c r="M12" s="187" t="str">
        <f t="shared" si="5"/>
        <v/>
      </c>
      <c r="N12" s="182">
        <f ca="1">i_country!K50</f>
        <v>2</v>
      </c>
    </row>
    <row r="13" spans="1:14" ht="15">
      <c r="A13" s="26"/>
      <c r="B13" s="26"/>
      <c r="C13" s="27"/>
      <c r="E13" s="181" t="str">
        <f ca="1">i_country!D51</f>
        <v>Judicial system</v>
      </c>
      <c r="F13" s="182">
        <f ca="1">i_country!I51</f>
        <v>1</v>
      </c>
      <c r="G13" s="176">
        <f t="shared" si="0"/>
        <v>0</v>
      </c>
      <c r="H13" s="186" t="str">
        <f t="shared" si="1"/>
        <v/>
      </c>
      <c r="I13" s="187" t="str">
        <f t="shared" si="2"/>
        <v/>
      </c>
      <c r="J13" s="182">
        <f ca="1">i_country!J51</f>
        <v>1</v>
      </c>
      <c r="K13" s="176">
        <f t="shared" si="3"/>
        <v>0</v>
      </c>
      <c r="L13" s="186" t="str">
        <f t="shared" si="4"/>
        <v/>
      </c>
      <c r="M13" s="187" t="str">
        <f t="shared" si="5"/>
        <v/>
      </c>
      <c r="N13" s="182">
        <f ca="1">i_country!K51</f>
        <v>1</v>
      </c>
    </row>
    <row r="14" spans="1:14" ht="15">
      <c r="A14" s="26"/>
      <c r="B14" s="26"/>
      <c r="C14" s="27"/>
      <c r="E14" s="181" t="str">
        <f ca="1">i_country!D52</f>
        <v>Accounting standards</v>
      </c>
      <c r="F14" s="182">
        <f ca="1">i_country!I52</f>
        <v>2</v>
      </c>
      <c r="G14" s="176">
        <f t="shared" si="0"/>
        <v>0</v>
      </c>
      <c r="H14" s="186" t="str">
        <f t="shared" si="1"/>
        <v/>
      </c>
      <c r="I14" s="187" t="str">
        <f t="shared" si="2"/>
        <v/>
      </c>
      <c r="J14" s="182">
        <f ca="1">i_country!J52</f>
        <v>2</v>
      </c>
      <c r="K14" s="176">
        <f t="shared" si="3"/>
        <v>2</v>
      </c>
      <c r="L14" s="186" t="str">
        <f t="shared" si="4"/>
        <v>▼</v>
      </c>
      <c r="M14" s="187">
        <f t="shared" si="5"/>
        <v>1</v>
      </c>
      <c r="N14" s="182">
        <f ca="1">i_country!K52</f>
        <v>3</v>
      </c>
    </row>
    <row r="15" spans="1:14" ht="15">
      <c r="A15" s="26"/>
      <c r="B15" s="26"/>
      <c r="C15" s="27"/>
      <c r="E15" s="181" t="str">
        <f ca="1">i_country!D53</f>
        <v>Governance standards</v>
      </c>
      <c r="F15" s="182">
        <f ca="1">i_country!I53</f>
        <v>1</v>
      </c>
      <c r="G15" s="176">
        <f t="shared" si="0"/>
        <v>0</v>
      </c>
      <c r="H15" s="186" t="str">
        <f t="shared" si="1"/>
        <v/>
      </c>
      <c r="I15" s="187" t="str">
        <f t="shared" si="2"/>
        <v/>
      </c>
      <c r="J15" s="182">
        <f ca="1">i_country!J53</f>
        <v>1</v>
      </c>
      <c r="K15" s="176">
        <f t="shared" si="3"/>
        <v>2</v>
      </c>
      <c r="L15" s="186" t="str">
        <f t="shared" si="4"/>
        <v>▼</v>
      </c>
      <c r="M15" s="187">
        <f t="shared" si="5"/>
        <v>1</v>
      </c>
      <c r="N15" s="182">
        <f ca="1">i_country!K53</f>
        <v>2</v>
      </c>
    </row>
    <row r="16" spans="1:14" ht="15">
      <c r="A16" s="26"/>
      <c r="B16" s="26"/>
      <c r="C16" s="27"/>
      <c r="E16" s="181" t="str">
        <f ca="1">i_country!D54</f>
        <v>MFI transparency</v>
      </c>
      <c r="F16" s="182">
        <f ca="1">i_country!I54</f>
        <v>1</v>
      </c>
      <c r="G16" s="176">
        <f t="shared" si="0"/>
        <v>0</v>
      </c>
      <c r="H16" s="186" t="str">
        <f t="shared" si="1"/>
        <v/>
      </c>
      <c r="I16" s="187" t="str">
        <f t="shared" si="2"/>
        <v/>
      </c>
      <c r="J16" s="182">
        <f ca="1">i_country!J54</f>
        <v>1</v>
      </c>
      <c r="K16" s="176">
        <f t="shared" si="3"/>
        <v>0</v>
      </c>
      <c r="L16" s="186" t="str">
        <f t="shared" si="4"/>
        <v/>
      </c>
      <c r="M16" s="187" t="str">
        <f t="shared" si="5"/>
        <v/>
      </c>
      <c r="N16" s="182">
        <f ca="1">i_country!K54</f>
        <v>1</v>
      </c>
    </row>
    <row r="17" spans="1:14" ht="18.75" customHeight="1">
      <c r="A17" s="26"/>
      <c r="B17" s="26"/>
      <c r="C17" s="27"/>
      <c r="E17" s="185" t="str">
        <f ca="1">i_country!D55</f>
        <v>Institutional Development</v>
      </c>
      <c r="F17" s="184">
        <f ca="1">i_country!I55</f>
        <v>33.299999999999997</v>
      </c>
      <c r="G17" s="176">
        <f t="shared" si="0"/>
        <v>0</v>
      </c>
      <c r="H17" s="186" t="str">
        <f t="shared" si="1"/>
        <v/>
      </c>
      <c r="I17" s="187" t="str">
        <f t="shared" si="2"/>
        <v/>
      </c>
      <c r="J17" s="184">
        <f ca="1">i_country!J55</f>
        <v>33.299999999999997</v>
      </c>
      <c r="K17" s="176">
        <f t="shared" si="3"/>
        <v>1</v>
      </c>
      <c r="L17" s="186" t="str">
        <f t="shared" si="4"/>
        <v>▲</v>
      </c>
      <c r="M17" s="187">
        <f t="shared" si="5"/>
        <v>8.2999999999999972</v>
      </c>
      <c r="N17" s="184">
        <f ca="1">i_country!K55</f>
        <v>25</v>
      </c>
    </row>
    <row r="18" spans="1:14" ht="15">
      <c r="A18" s="26"/>
      <c r="B18" s="26"/>
      <c r="C18" s="27"/>
      <c r="E18" s="181" t="str">
        <f ca="1">i_country!D56</f>
        <v>Range of MFI Services</v>
      </c>
      <c r="F18" s="182">
        <f ca="1">i_country!I56</f>
        <v>1</v>
      </c>
      <c r="G18" s="176">
        <f t="shared" si="0"/>
        <v>0</v>
      </c>
      <c r="H18" s="186" t="str">
        <f t="shared" si="1"/>
        <v/>
      </c>
      <c r="I18" s="187" t="str">
        <f t="shared" si="2"/>
        <v/>
      </c>
      <c r="J18" s="182">
        <f ca="1">i_country!J56</f>
        <v>1</v>
      </c>
      <c r="K18" s="176">
        <f t="shared" si="3"/>
        <v>0</v>
      </c>
      <c r="L18" s="186" t="str">
        <f t="shared" si="4"/>
        <v/>
      </c>
      <c r="M18" s="187" t="str">
        <f t="shared" si="5"/>
        <v/>
      </c>
      <c r="N18" s="182">
        <f ca="1">i_country!K56</f>
        <v>1</v>
      </c>
    </row>
    <row r="19" spans="1:14" ht="15">
      <c r="A19" s="26"/>
      <c r="B19" s="26"/>
      <c r="C19" s="27"/>
      <c r="E19" s="181" t="str">
        <f ca="1">i_country!D57</f>
        <v>Credit bureaus</v>
      </c>
      <c r="F19" s="182">
        <f ca="1">i_country!I57</f>
        <v>2</v>
      </c>
      <c r="G19" s="176">
        <f t="shared" si="0"/>
        <v>0</v>
      </c>
      <c r="H19" s="186" t="str">
        <f t="shared" si="1"/>
        <v/>
      </c>
      <c r="I19" s="187" t="str">
        <f t="shared" si="2"/>
        <v/>
      </c>
      <c r="J19" s="182">
        <f ca="1">i_country!J57</f>
        <v>2</v>
      </c>
      <c r="K19" s="176">
        <f t="shared" si="3"/>
        <v>0</v>
      </c>
      <c r="L19" s="186" t="str">
        <f t="shared" si="4"/>
        <v/>
      </c>
      <c r="M19" s="187" t="str">
        <f t="shared" si="5"/>
        <v/>
      </c>
      <c r="N19" s="182">
        <f ca="1">i_country!K57</f>
        <v>2</v>
      </c>
    </row>
    <row r="20" spans="1:14" ht="15">
      <c r="A20" s="26"/>
      <c r="B20" s="26"/>
      <c r="C20" s="27"/>
      <c r="E20" s="181" t="str">
        <f ca="1">i_country!D58</f>
        <v>Level of competition</v>
      </c>
      <c r="F20" s="182">
        <f ca="1">i_country!I58</f>
        <v>1</v>
      </c>
      <c r="G20" s="176">
        <f t="shared" si="0"/>
        <v>0</v>
      </c>
      <c r="H20" s="186" t="str">
        <f t="shared" si="1"/>
        <v/>
      </c>
      <c r="I20" s="187" t="str">
        <f t="shared" si="2"/>
        <v/>
      </c>
      <c r="J20" s="182">
        <f ca="1">i_country!J58</f>
        <v>1</v>
      </c>
      <c r="K20" s="176">
        <f t="shared" si="3"/>
        <v>1</v>
      </c>
      <c r="L20" s="186" t="str">
        <f t="shared" si="4"/>
        <v>▲</v>
      </c>
      <c r="M20" s="187">
        <f t="shared" si="5"/>
        <v>1</v>
      </c>
      <c r="N20" s="182">
        <f ca="1">i_country!K58</f>
        <v>0</v>
      </c>
    </row>
    <row r="21" spans="1:14">
      <c r="A21" s="26"/>
      <c r="B21" s="26"/>
      <c r="C21" s="27"/>
      <c r="J21" s="111"/>
      <c r="K21" s="111"/>
      <c r="L21" s="111"/>
      <c r="M21" s="111"/>
    </row>
    <row r="22" spans="1:14" ht="15">
      <c r="A22" s="26"/>
      <c r="B22" s="26"/>
      <c r="C22" s="27"/>
      <c r="E22" s="112"/>
      <c r="F22" s="49"/>
      <c r="G22" s="49"/>
      <c r="H22" s="49"/>
      <c r="I22" s="49"/>
      <c r="J22" s="111"/>
      <c r="K22" s="111"/>
      <c r="L22" s="111"/>
      <c r="M22" s="111"/>
    </row>
    <row r="23" spans="1:14">
      <c r="A23" s="28"/>
      <c r="B23" s="28"/>
      <c r="C23" s="29"/>
      <c r="E23" s="175"/>
    </row>
    <row r="24" spans="1:14">
      <c r="E24" s="118"/>
    </row>
  </sheetData>
  <sheetProtection password="B7E9" sheet="1" objects="1" scenarios="1" selectLockedCells="1" selectUnlockedCells="1"/>
  <phoneticPr fontId="0" type="noConversion"/>
  <conditionalFormatting sqref="H4:H20 L4:L20">
    <cfRule type="expression" dxfId="22" priority="1" stopIfTrue="1">
      <formula>G4=1</formula>
    </cfRule>
  </conditionalFormatting>
  <conditionalFormatting sqref="I4:I20 M4:M20">
    <cfRule type="expression" dxfId="21" priority="2" stopIfTrue="1">
      <formula>G4=1</formula>
    </cfRule>
  </conditionalFormatting>
  <pageMargins left="0.7" right="0.7" top="0.75" bottom="0.75" header="0.3" footer="0.3"/>
  <pageSetup paperSize="0" orientation="portrait" horizontalDpi="0" verticalDpi="0" copies="0"/>
  <legacyDrawing r:id="rId1"/>
</worksheet>
</file>

<file path=xl/worksheets/sheet25.xml><?xml version="1.0" encoding="utf-8"?>
<worksheet xmlns="http://schemas.openxmlformats.org/spreadsheetml/2006/main" xmlns:r="http://schemas.openxmlformats.org/officeDocument/2006/relationships">
  <sheetPr codeName="Sheet27"/>
  <dimension ref="A1:AC24"/>
  <sheetViews>
    <sheetView showGridLines="0" showRowColHeaders="0" zoomScale="90" zoomScaleNormal="90" workbookViewId="0">
      <selection activeCell="F14" sqref="F14"/>
    </sheetView>
  </sheetViews>
  <sheetFormatPr defaultRowHeight="12.75"/>
  <cols>
    <col min="1" max="1" width="2.28515625" customWidth="1"/>
    <col min="2" max="2" width="3.5703125" hidden="1" customWidth="1"/>
    <col min="3" max="3" width="3.5703125" customWidth="1"/>
    <col min="4" max="4" width="4.140625" bestFit="1" customWidth="1"/>
    <col min="5" max="5" width="16.5703125" customWidth="1"/>
    <col min="6" max="6" width="6" customWidth="1"/>
    <col min="7" max="7" width="6.85546875" customWidth="1"/>
    <col min="8" max="8" width="0" hidden="1" customWidth="1"/>
    <col min="9" max="9" width="5.42578125" customWidth="1"/>
    <col min="10" max="10" width="3.85546875" hidden="1" customWidth="1"/>
    <col min="11" max="11" width="3.85546875" bestFit="1" customWidth="1"/>
    <col min="12" max="12" width="17.85546875" bestFit="1" customWidth="1"/>
    <col min="13" max="13" width="5" bestFit="1" customWidth="1"/>
    <col min="14" max="14" width="5.5703125" customWidth="1"/>
    <col min="15" max="15" width="6.7109375" hidden="1" customWidth="1"/>
    <col min="16" max="16" width="4.85546875" customWidth="1"/>
    <col min="17" max="17" width="9.140625" hidden="1" customWidth="1"/>
    <col min="18" max="18" width="3.85546875" bestFit="1" customWidth="1"/>
    <col min="19" max="19" width="17.85546875" bestFit="1" customWidth="1"/>
    <col min="20" max="20" width="5" bestFit="1" customWidth="1"/>
    <col min="21" max="21" width="5" customWidth="1"/>
    <col min="22" max="22" width="4.85546875" hidden="1" customWidth="1"/>
    <col min="23" max="23" width="5.5703125" customWidth="1"/>
    <col min="24" max="24" width="4.140625" hidden="1" customWidth="1"/>
    <col min="25" max="25" width="3.85546875" bestFit="1" customWidth="1"/>
    <col min="26" max="26" width="17.85546875" bestFit="1" customWidth="1"/>
    <col min="27" max="27" width="5" bestFit="1" customWidth="1"/>
    <col min="28" max="28" width="7.7109375" customWidth="1"/>
    <col min="29" max="29" width="1.5703125" hidden="1" customWidth="1"/>
  </cols>
  <sheetData>
    <row r="1" spans="1:29" s="123" customFormat="1" ht="29.25" customHeight="1">
      <c r="A1" s="123" t="s">
        <v>1190</v>
      </c>
      <c r="K1" s="211"/>
      <c r="L1" s="211"/>
      <c r="M1" s="211" t="s">
        <v>1031</v>
      </c>
      <c r="S1" s="212"/>
      <c r="Y1" s="212" t="s">
        <v>1189</v>
      </c>
    </row>
    <row r="2" spans="1:29" ht="22.5" customHeight="1">
      <c r="L2" s="116"/>
      <c r="S2" s="116"/>
      <c r="Z2" s="116"/>
    </row>
    <row r="3" spans="1:29" ht="18.75">
      <c r="A3" s="84"/>
      <c r="B3" s="85"/>
      <c r="C3" s="84"/>
      <c r="D3" s="132"/>
      <c r="E3" s="124" t="str">
        <f ca="1">tblIndByType!C2</f>
        <v>Overall score</v>
      </c>
      <c r="F3" s="125"/>
      <c r="G3" s="125"/>
      <c r="H3" s="125"/>
      <c r="I3" s="84"/>
      <c r="J3" s="85"/>
      <c r="K3" s="137"/>
      <c r="L3" s="133" t="str">
        <f ca="1">tblIndByType!C3</f>
        <v xml:space="preserve">Regulatory Framework </v>
      </c>
      <c r="M3" s="134"/>
      <c r="N3" s="134"/>
      <c r="O3" s="84"/>
      <c r="P3" s="84"/>
      <c r="Q3" s="85"/>
      <c r="R3" s="137"/>
      <c r="S3" s="133" t="str">
        <f ca="1">tblIndByType!C4</f>
        <v>Investment Climate</v>
      </c>
      <c r="T3" s="134"/>
      <c r="U3" s="134"/>
      <c r="V3" s="134"/>
      <c r="W3" s="84"/>
      <c r="X3" s="85"/>
      <c r="Y3" s="133"/>
      <c r="Z3" s="133" t="str">
        <f ca="1">tblIndByType!C5</f>
        <v>Institutional Development</v>
      </c>
      <c r="AA3" s="134"/>
      <c r="AB3" s="134"/>
      <c r="AC3" s="133"/>
    </row>
    <row r="4" spans="1:29">
      <c r="B4" s="86" t="str">
        <f ca="1">i_rank_i!AS6</f>
        <v>DS</v>
      </c>
      <c r="D4" s="126"/>
      <c r="E4" s="130" t="s">
        <v>729</v>
      </c>
      <c r="F4" s="131" t="s">
        <v>947</v>
      </c>
      <c r="G4" s="131" t="s">
        <v>1182</v>
      </c>
      <c r="H4" s="131"/>
      <c r="J4" s="86" t="str">
        <f ca="1">i_rank_i!BB6</f>
        <v>DS</v>
      </c>
      <c r="K4" s="135"/>
      <c r="L4" s="136" t="s">
        <v>729</v>
      </c>
      <c r="M4" s="135" t="s">
        <v>947</v>
      </c>
      <c r="N4" s="135" t="s">
        <v>1182</v>
      </c>
      <c r="Q4" s="86" t="str">
        <f ca="1">i_rank_i!BK6</f>
        <v>DS</v>
      </c>
      <c r="R4" s="135"/>
      <c r="S4" s="136" t="s">
        <v>729</v>
      </c>
      <c r="T4" s="135" t="s">
        <v>947</v>
      </c>
      <c r="U4" s="135" t="s">
        <v>1182</v>
      </c>
      <c r="V4" s="135"/>
      <c r="X4" s="86" t="str">
        <f ca="1">i_rank_i!BT6</f>
        <v>DS</v>
      </c>
      <c r="Y4" s="135"/>
      <c r="Z4" s="136" t="s">
        <v>729</v>
      </c>
      <c r="AA4" s="135" t="s">
        <v>947</v>
      </c>
      <c r="AB4" s="135" t="s">
        <v>1182</v>
      </c>
      <c r="AC4" s="135"/>
    </row>
    <row r="5" spans="1:29" ht="14.25" customHeight="1">
      <c r="B5" s="88">
        <f ca="1">i_rank_2!AA7</f>
        <v>2</v>
      </c>
      <c r="D5" s="127">
        <f ca="1">i_rank_2!AB7</f>
        <v>1</v>
      </c>
      <c r="E5" s="128" t="str">
        <f ca="1">i_rank_2!AC7</f>
        <v>Chile</v>
      </c>
      <c r="F5" s="129">
        <f ca="1">i_rank_2!AD7</f>
        <v>48</v>
      </c>
      <c r="G5" s="210" t="str">
        <f ca="1">i_rank_2!AF7</f>
        <v>+4.8</v>
      </c>
      <c r="H5" s="209">
        <f ca="1">i_rank_2!AE7</f>
        <v>4.7999999999999972</v>
      </c>
      <c r="J5" s="88">
        <f ca="1">i_rank_2!AO7</f>
        <v>2</v>
      </c>
      <c r="K5" s="127">
        <f ca="1">i_rank_2!AP7</f>
        <v>1</v>
      </c>
      <c r="L5" s="128" t="str">
        <f ca="1">i_rank_2!AQ7</f>
        <v>Chile</v>
      </c>
      <c r="M5" s="129">
        <f ca="1">i_rank_2!AR7</f>
        <v>50</v>
      </c>
      <c r="N5" s="210" t="str">
        <f ca="1">i_rank_2!AT7</f>
        <v>+12.5</v>
      </c>
      <c r="O5" s="209">
        <f ca="1">i_rank_2!AS7</f>
        <v>12.5</v>
      </c>
      <c r="Q5" s="88">
        <f ca="1">i_rank_2!BC7</f>
        <v>2</v>
      </c>
      <c r="R5" s="127">
        <f ca="1">i_rank_2!BD7</f>
        <v>1</v>
      </c>
      <c r="S5" s="128" t="str">
        <f ca="1">i_rank_2!BE7</f>
        <v>Nicaragua</v>
      </c>
      <c r="T5" s="129">
        <f ca="1">i_rank_2!BF7</f>
        <v>47.5</v>
      </c>
      <c r="U5" s="210" t="str">
        <f ca="1">i_rank_2!BH7</f>
        <v>+3.3</v>
      </c>
      <c r="V5" s="209">
        <f ca="1">i_rank_2!BG7</f>
        <v>3.2999999999999972</v>
      </c>
      <c r="X5" s="88">
        <f ca="1">i_rank_2!BQ7</f>
        <v>2</v>
      </c>
      <c r="Y5" s="127">
        <f ca="1">i_rank_2!BR7</f>
        <v>1</v>
      </c>
      <c r="Z5" s="128" t="str">
        <f ca="1">i_rank_2!BS7</f>
        <v>Panama</v>
      </c>
      <c r="AA5" s="129">
        <f ca="1">i_rank_2!BT7</f>
        <v>41.7</v>
      </c>
      <c r="AB5" s="210" t="str">
        <f ca="1">i_rank_2!BV7</f>
        <v>+8.4</v>
      </c>
      <c r="AC5" s="209">
        <f ca="1">i_rank_2!BU7</f>
        <v>8.4000000000000057</v>
      </c>
    </row>
    <row r="6" spans="1:29" ht="14.25" customHeight="1">
      <c r="B6" s="88">
        <f ca="1">i_rank_2!AA8</f>
        <v>2</v>
      </c>
      <c r="D6" s="127">
        <f ca="1">i_rank_2!AB8</f>
        <v>2</v>
      </c>
      <c r="E6" s="128" t="str">
        <f ca="1">i_rank_2!AC8</f>
        <v>Panama</v>
      </c>
      <c r="F6" s="129">
        <f ca="1">i_rank_2!AD8</f>
        <v>50.9</v>
      </c>
      <c r="G6" s="210" t="str">
        <f ca="1">i_rank_2!AF8</f>
        <v>+3.4</v>
      </c>
      <c r="H6" s="209">
        <f ca="1">i_rank_2!AE8</f>
        <v>3.3999999999999986</v>
      </c>
      <c r="J6" s="88">
        <f ca="1">i_rank_2!AO8</f>
        <v>2</v>
      </c>
      <c r="K6" s="127">
        <f ca="1">i_rank_2!AP8</f>
        <v>2</v>
      </c>
      <c r="L6" s="128" t="str">
        <f ca="1">i_rank_2!AQ8</f>
        <v>Costa Rica</v>
      </c>
      <c r="M6" s="129">
        <f ca="1">i_rank_2!AR8</f>
        <v>43.8</v>
      </c>
      <c r="N6" s="210" t="str">
        <f ca="1">i_rank_2!AT8</f>
        <v>+6.3</v>
      </c>
      <c r="O6" s="209">
        <f ca="1">i_rank_2!AS8</f>
        <v>6.2999999999999972</v>
      </c>
      <c r="Q6" s="88">
        <f ca="1">i_rank_2!BC8</f>
        <v>2</v>
      </c>
      <c r="R6" s="127">
        <f ca="1">i_rank_2!BD8</f>
        <v>2</v>
      </c>
      <c r="S6" s="128" t="str">
        <f ca="1">i_rank_2!BE8</f>
        <v>Guatemala</v>
      </c>
      <c r="T6" s="129">
        <f ca="1">i_rank_2!BF8</f>
        <v>42.5</v>
      </c>
      <c r="U6" s="210" t="str">
        <f ca="1">i_rank_2!BH8</f>
        <v>+1.7</v>
      </c>
      <c r="V6" s="209">
        <f ca="1">i_rank_2!BG8</f>
        <v>1.7000000000000028</v>
      </c>
      <c r="X6" s="88">
        <f ca="1">i_rank_2!BQ8</f>
        <v>2</v>
      </c>
      <c r="Y6" s="127">
        <f ca="1">i_rank_2!BR8</f>
        <v>2</v>
      </c>
      <c r="Z6" s="128" t="str">
        <f ca="1">i_rank_2!BS8</f>
        <v>Haiti</v>
      </c>
      <c r="AA6" s="129">
        <f ca="1">i_rank_2!BT8</f>
        <v>25</v>
      </c>
      <c r="AB6" s="210" t="str">
        <f ca="1">i_rank_2!BV8</f>
        <v>+8.3</v>
      </c>
      <c r="AC6" s="209">
        <f ca="1">i_rank_2!BU8</f>
        <v>8.3000000000000007</v>
      </c>
    </row>
    <row r="7" spans="1:29" ht="14.25" customHeight="1">
      <c r="B7" s="88">
        <f ca="1">i_rank_2!AA9</f>
        <v>2</v>
      </c>
      <c r="D7" s="127">
        <f ca="1">i_rank_2!AB9</f>
        <v>3</v>
      </c>
      <c r="E7" s="128" t="str">
        <f ca="1">i_rank_2!AC9</f>
        <v>Haiti</v>
      </c>
      <c r="F7" s="129">
        <f ca="1">i_rank_2!AD9</f>
        <v>33.4</v>
      </c>
      <c r="G7" s="210" t="str">
        <f ca="1">i_rank_2!AF9</f>
        <v>+3.2</v>
      </c>
      <c r="H7" s="209">
        <f ca="1">i_rank_2!AE9</f>
        <v>3.1999999999999993</v>
      </c>
      <c r="J7" s="88">
        <f ca="1">i_rank_2!AO9</f>
        <v>3</v>
      </c>
      <c r="K7" s="127">
        <f ca="1">i_rank_2!AP9</f>
        <v>3</v>
      </c>
      <c r="L7" s="128" t="str">
        <f ca="1">i_rank_2!AQ9</f>
        <v>Argentina</v>
      </c>
      <c r="M7" s="129">
        <f ca="1">i_rank_2!AR9</f>
        <v>25</v>
      </c>
      <c r="N7" s="210" t="str">
        <f ca="1">i_rank_2!AT9</f>
        <v>+6.2</v>
      </c>
      <c r="O7" s="209">
        <f ca="1">i_rank_2!AS9</f>
        <v>6.1999999999999993</v>
      </c>
      <c r="Q7" s="88">
        <f ca="1">i_rank_2!BC9</f>
        <v>2</v>
      </c>
      <c r="R7" s="127">
        <f ca="1">i_rank_2!BD9</f>
        <v>3</v>
      </c>
      <c r="S7" s="128" t="str">
        <f ca="1">i_rank_2!BE9</f>
        <v>Brazil</v>
      </c>
      <c r="T7" s="129">
        <f ca="1">i_rank_2!BF9</f>
        <v>53.6</v>
      </c>
      <c r="U7" s="210" t="str">
        <f ca="1">i_rank_2!BH9</f>
        <v>-</v>
      </c>
      <c r="V7" s="209">
        <f ca="1">i_rank_2!BG9</f>
        <v>0</v>
      </c>
      <c r="X7" s="88">
        <f ca="1">i_rank_2!BQ9</f>
        <v>2</v>
      </c>
      <c r="Y7" s="127">
        <f ca="1">i_rank_2!BR9</f>
        <v>3</v>
      </c>
      <c r="Z7" s="128" t="str">
        <f ca="1">i_rank_2!BS9</f>
        <v>Honduras</v>
      </c>
      <c r="AA7" s="129">
        <f ca="1">i_rank_2!BT9</f>
        <v>58.3</v>
      </c>
      <c r="AB7" s="210" t="str">
        <f ca="1">i_rank_2!BV9</f>
        <v>+8.3</v>
      </c>
      <c r="AC7" s="209">
        <f ca="1">i_rank_2!BU9</f>
        <v>8.2999999999999972</v>
      </c>
    </row>
    <row r="8" spans="1:29" ht="14.25" customHeight="1">
      <c r="B8" s="88">
        <f ca="1">i_rank_2!AA10</f>
        <v>2</v>
      </c>
      <c r="D8" s="127">
        <f ca="1">i_rank_2!AB10</f>
        <v>4</v>
      </c>
      <c r="E8" s="128" t="str">
        <f ca="1">i_rank_2!AC10</f>
        <v>Jamaica</v>
      </c>
      <c r="F8" s="129">
        <f ca="1">i_rank_2!AD10</f>
        <v>23.7</v>
      </c>
      <c r="G8" s="210" t="str">
        <f ca="1">i_rank_2!AF10</f>
        <v>+2.5</v>
      </c>
      <c r="H8" s="209">
        <f ca="1">i_rank_2!AE10</f>
        <v>2.5</v>
      </c>
      <c r="J8" s="88">
        <f ca="1">i_rank_2!AO10</f>
        <v>2</v>
      </c>
      <c r="K8" s="127">
        <f ca="1">i_rank_2!AP10</f>
        <v>4</v>
      </c>
      <c r="L8" s="128" t="str">
        <f ca="1">i_rank_2!AQ10</f>
        <v>Brazil</v>
      </c>
      <c r="M8" s="129">
        <f ca="1">i_rank_2!AR10</f>
        <v>50</v>
      </c>
      <c r="N8" s="210" t="str">
        <f ca="1">i_rank_2!AT10</f>
        <v>+6.2</v>
      </c>
      <c r="O8" s="209">
        <f ca="1">i_rank_2!AS10</f>
        <v>6.2000000000000028</v>
      </c>
      <c r="Q8" s="88">
        <f ca="1">i_rank_2!BC10</f>
        <v>2</v>
      </c>
      <c r="R8" s="127">
        <f ca="1">i_rank_2!BD10</f>
        <v>4</v>
      </c>
      <c r="S8" s="128" t="str">
        <f ca="1">i_rank_2!BE10</f>
        <v>Colombia</v>
      </c>
      <c r="T8" s="129">
        <f ca="1">i_rank_2!BF10</f>
        <v>51.4</v>
      </c>
      <c r="U8" s="210" t="str">
        <f ca="1">i_rank_2!BH10</f>
        <v>-</v>
      </c>
      <c r="V8" s="209">
        <f ca="1">i_rank_2!BG10</f>
        <v>0</v>
      </c>
      <c r="X8" s="88">
        <f ca="1">i_rank_2!BQ10</f>
        <v>2</v>
      </c>
      <c r="Y8" s="127">
        <f ca="1">i_rank_2!BR10</f>
        <v>4</v>
      </c>
      <c r="Z8" s="128" t="str">
        <f ca="1">i_rank_2!BS10</f>
        <v>Jamaica</v>
      </c>
      <c r="AA8" s="129">
        <f ca="1">i_rank_2!BT10</f>
        <v>8.3000000000000007</v>
      </c>
      <c r="AB8" s="210" t="str">
        <f ca="1">i_rank_2!BV10</f>
        <v>+8.3</v>
      </c>
      <c r="AC8" s="209">
        <f ca="1">i_rank_2!BU10</f>
        <v>8.3000000000000007</v>
      </c>
    </row>
    <row r="9" spans="1:29" ht="14.25" customHeight="1">
      <c r="B9" s="88">
        <f ca="1">i_rank_2!AA11</f>
        <v>2</v>
      </c>
      <c r="D9" s="127">
        <f ca="1">i_rank_2!AB11</f>
        <v>5</v>
      </c>
      <c r="E9" s="128" t="str">
        <f ca="1">i_rank_2!AC11</f>
        <v>Brazil</v>
      </c>
      <c r="F9" s="129">
        <f ca="1">i_rank_2!AD11</f>
        <v>44</v>
      </c>
      <c r="G9" s="210" t="str">
        <f ca="1">i_rank_2!AF11</f>
        <v>+2.4</v>
      </c>
      <c r="H9" s="209">
        <f ca="1">i_rank_2!AE11</f>
        <v>2.3999999999999986</v>
      </c>
      <c r="J9" s="88">
        <f ca="1">i_rank_2!AO11</f>
        <v>2</v>
      </c>
      <c r="K9" s="127" t="str">
        <f ca="1">i_rank_2!AP11</f>
        <v>=5</v>
      </c>
      <c r="L9" s="128" t="str">
        <f ca="1">i_rank_2!AQ11</f>
        <v>El Salvador</v>
      </c>
      <c r="M9" s="129">
        <f ca="1">i_rank_2!AR11</f>
        <v>62.5</v>
      </c>
      <c r="N9" s="210" t="str">
        <f ca="1">i_rank_2!AT11</f>
        <v>+6.2</v>
      </c>
      <c r="O9" s="209">
        <f ca="1">i_rank_2!AS11</f>
        <v>6.2000000000000028</v>
      </c>
      <c r="Q9" s="88">
        <f ca="1">i_rank_2!BC11</f>
        <v>2</v>
      </c>
      <c r="R9" s="127">
        <f ca="1">i_rank_2!BD11</f>
        <v>5</v>
      </c>
      <c r="S9" s="128" t="str">
        <f ca="1">i_rank_2!BE11</f>
        <v>Panama</v>
      </c>
      <c r="T9" s="129">
        <f ca="1">i_rank_2!BF11</f>
        <v>58.3</v>
      </c>
      <c r="U9" s="210" t="str">
        <f ca="1">i_rank_2!BH11</f>
        <v>-</v>
      </c>
      <c r="V9" s="209">
        <f ca="1">i_rank_2!BG11</f>
        <v>0</v>
      </c>
      <c r="X9" s="88">
        <f ca="1">i_rank_2!BQ11</f>
        <v>3</v>
      </c>
      <c r="Y9" s="127">
        <f ca="1">i_rank_2!BR11</f>
        <v>5</v>
      </c>
      <c r="Z9" s="128" t="str">
        <f ca="1">i_rank_2!BS11</f>
        <v>Argentina</v>
      </c>
      <c r="AA9" s="129">
        <f ca="1">i_rank_2!BT11</f>
        <v>33.299999999999997</v>
      </c>
      <c r="AB9" s="210" t="str">
        <f ca="1">i_rank_2!BV11</f>
        <v>-</v>
      </c>
      <c r="AC9" s="209">
        <f ca="1">i_rank_2!BU11</f>
        <v>0</v>
      </c>
    </row>
    <row r="10" spans="1:29" ht="14.25" customHeight="1">
      <c r="B10" s="88">
        <f ca="1">i_rank_2!AA12</f>
        <v>3</v>
      </c>
      <c r="D10" s="127">
        <f ca="1">i_rank_2!AB12</f>
        <v>6</v>
      </c>
      <c r="E10" s="128" t="str">
        <f ca="1">i_rank_2!AC12</f>
        <v>Argentina</v>
      </c>
      <c r="F10" s="129">
        <f ca="1">i_rank_2!AD12</f>
        <v>30.8</v>
      </c>
      <c r="G10" s="210" t="str">
        <f ca="1">i_rank_2!AF12</f>
        <v>+2.3</v>
      </c>
      <c r="H10" s="209">
        <f ca="1">i_rank_2!AE12</f>
        <v>2.3000000000000007</v>
      </c>
      <c r="J10" s="88">
        <f ca="1">i_rank_2!AO12</f>
        <v>2</v>
      </c>
      <c r="K10" s="127" t="str">
        <f ca="1">i_rank_2!AP12</f>
        <v>=5</v>
      </c>
      <c r="L10" s="128" t="str">
        <f ca="1">i_rank_2!AQ12</f>
        <v>Colombia</v>
      </c>
      <c r="M10" s="129">
        <f ca="1">i_rank_2!AR12</f>
        <v>62.5</v>
      </c>
      <c r="N10" s="210" t="str">
        <f ca="1">i_rank_2!AT12</f>
        <v>-</v>
      </c>
      <c r="O10" s="209">
        <f ca="1">i_rank_2!AS12</f>
        <v>0</v>
      </c>
      <c r="Q10" s="88">
        <f ca="1">i_rank_2!BC12</f>
        <v>2</v>
      </c>
      <c r="R10" s="127">
        <f ca="1">i_rank_2!BD12</f>
        <v>6</v>
      </c>
      <c r="S10" s="128" t="str">
        <f ca="1">i_rank_2!BE12</f>
        <v>Uruguay</v>
      </c>
      <c r="T10" s="129">
        <f ca="1">i_rank_2!BF12</f>
        <v>45.8</v>
      </c>
      <c r="U10" s="210" t="str">
        <f ca="1">i_rank_2!BH12</f>
        <v>-</v>
      </c>
      <c r="V10" s="209">
        <f ca="1">i_rank_2!BG12</f>
        <v>0</v>
      </c>
      <c r="X10" s="88">
        <f ca="1">i_rank_2!BQ12</f>
        <v>2</v>
      </c>
      <c r="Y10" s="127">
        <f ca="1">i_rank_2!BR12</f>
        <v>6</v>
      </c>
      <c r="Z10" s="128" t="str">
        <f ca="1">i_rank_2!BS12</f>
        <v>Bolivia</v>
      </c>
      <c r="AA10" s="129">
        <f ca="1">i_rank_2!BT12</f>
        <v>75</v>
      </c>
      <c r="AB10" s="210" t="str">
        <f ca="1">i_rank_2!BV12</f>
        <v>-</v>
      </c>
      <c r="AC10" s="209">
        <f ca="1">i_rank_2!BU12</f>
        <v>0</v>
      </c>
    </row>
    <row r="11" spans="1:29" ht="14.25" customHeight="1">
      <c r="B11" s="88">
        <f ca="1">i_rank_2!AA13</f>
        <v>2</v>
      </c>
      <c r="D11" s="127">
        <f ca="1">i_rank_2!AB13</f>
        <v>7</v>
      </c>
      <c r="E11" s="128" t="str">
        <f ca="1">i_rank_2!AC13</f>
        <v>Costa Rica</v>
      </c>
      <c r="F11" s="129">
        <f ca="1">i_rank_2!AD13</f>
        <v>42.5</v>
      </c>
      <c r="G11" s="210" t="str">
        <f ca="1">i_rank_2!AF13</f>
        <v>+2.2</v>
      </c>
      <c r="H11" s="209">
        <f ca="1">i_rank_2!AE13</f>
        <v>2.2000000000000028</v>
      </c>
      <c r="J11" s="88">
        <f ca="1">i_rank_2!AO13</f>
        <v>2</v>
      </c>
      <c r="K11" s="127">
        <f ca="1">i_rank_2!AP13</f>
        <v>7</v>
      </c>
      <c r="L11" s="128" t="str">
        <f ca="1">i_rank_2!AQ13</f>
        <v>Dominican Republic</v>
      </c>
      <c r="M11" s="129">
        <f ca="1">i_rank_2!AR13</f>
        <v>50</v>
      </c>
      <c r="N11" s="210" t="str">
        <f ca="1">i_rank_2!AT13</f>
        <v>-</v>
      </c>
      <c r="O11" s="209">
        <f ca="1">i_rank_2!AS13</f>
        <v>0</v>
      </c>
      <c r="Q11" s="88">
        <f ca="1">i_rank_2!BC13</f>
        <v>2</v>
      </c>
      <c r="R11" s="127">
        <f ca="1">i_rank_2!BD13</f>
        <v>7</v>
      </c>
      <c r="S11" s="128" t="str">
        <f ca="1">i_rank_2!BE13</f>
        <v>Haiti</v>
      </c>
      <c r="T11" s="129">
        <f ca="1">i_rank_2!BF13</f>
        <v>29.4</v>
      </c>
      <c r="U11" s="210">
        <f ca="1">i_rank_2!BH13</f>
        <v>-0.6</v>
      </c>
      <c r="V11" s="209">
        <f ca="1">i_rank_2!BG13</f>
        <v>-0.60000000000000142</v>
      </c>
      <c r="X11" s="88">
        <f ca="1">i_rank_2!BQ13</f>
        <v>2</v>
      </c>
      <c r="Y11" s="127" t="str">
        <f ca="1">i_rank_2!BR13</f>
        <v>=7</v>
      </c>
      <c r="Z11" s="128" t="str">
        <f ca="1">i_rank_2!BS13</f>
        <v>Brazil</v>
      </c>
      <c r="AA11" s="129">
        <f ca="1">i_rank_2!BT13</f>
        <v>33.299999999999997</v>
      </c>
      <c r="AB11" s="210" t="str">
        <f ca="1">i_rank_2!BV13</f>
        <v>-</v>
      </c>
      <c r="AC11" s="209">
        <f ca="1">i_rank_2!BU13</f>
        <v>0</v>
      </c>
    </row>
    <row r="12" spans="1:29" ht="14.25" customHeight="1">
      <c r="B12" s="88">
        <f ca="1">i_rank_2!AA14</f>
        <v>2</v>
      </c>
      <c r="D12" s="127">
        <f ca="1">i_rank_2!AB14</f>
        <v>8</v>
      </c>
      <c r="E12" s="128" t="str">
        <f ca="1">i_rank_2!AC14</f>
        <v>Honduras</v>
      </c>
      <c r="F12" s="129">
        <f ca="1">i_rank_2!AD14</f>
        <v>49.3</v>
      </c>
      <c r="G12" s="210" t="str">
        <f ca="1">i_rank_2!AF14</f>
        <v>+2.2</v>
      </c>
      <c r="H12" s="209">
        <f ca="1">i_rank_2!AE14</f>
        <v>2.1999999999999957</v>
      </c>
      <c r="J12" s="88">
        <f ca="1">i_rank_2!AO14</f>
        <v>2</v>
      </c>
      <c r="K12" s="127">
        <f ca="1">i_rank_2!AP14</f>
        <v>8</v>
      </c>
      <c r="L12" s="128" t="str">
        <f ca="1">i_rank_2!AQ14</f>
        <v>Haiti</v>
      </c>
      <c r="M12" s="129">
        <f ca="1">i_rank_2!AR14</f>
        <v>43.8</v>
      </c>
      <c r="N12" s="210" t="str">
        <f ca="1">i_rank_2!AT14</f>
        <v>-</v>
      </c>
      <c r="O12" s="209">
        <f ca="1">i_rank_2!AS14</f>
        <v>0</v>
      </c>
      <c r="Q12" s="88">
        <f ca="1">i_rank_2!BC14</f>
        <v>3</v>
      </c>
      <c r="R12" s="127">
        <f ca="1">i_rank_2!BD14</f>
        <v>8</v>
      </c>
      <c r="S12" s="128" t="str">
        <f ca="1">i_rank_2!BE14</f>
        <v>Argentina</v>
      </c>
      <c r="T12" s="129">
        <f ca="1">i_rank_2!BF14</f>
        <v>37.5</v>
      </c>
      <c r="U12" s="210">
        <f ca="1">i_rank_2!BH14</f>
        <v>-0.8</v>
      </c>
      <c r="V12" s="209">
        <f ca="1">i_rank_2!BG14</f>
        <v>-0.79999999999999716</v>
      </c>
      <c r="X12" s="88">
        <f ca="1">i_rank_2!BQ14</f>
        <v>2</v>
      </c>
      <c r="Y12" s="127" t="str">
        <f ca="1">i_rank_2!BR14</f>
        <v>=7</v>
      </c>
      <c r="Z12" s="128" t="str">
        <f ca="1">i_rank_2!BS14</f>
        <v>Chile</v>
      </c>
      <c r="AA12" s="129">
        <f ca="1">i_rank_2!BT14</f>
        <v>33.299999999999997</v>
      </c>
      <c r="AB12" s="210" t="str">
        <f ca="1">i_rank_2!BV14</f>
        <v>-</v>
      </c>
      <c r="AC12" s="209">
        <f ca="1">i_rank_2!BU14</f>
        <v>0</v>
      </c>
    </row>
    <row r="13" spans="1:29" ht="14.25" customHeight="1">
      <c r="B13" s="88">
        <f ca="1">i_rank_2!AA15</f>
        <v>2</v>
      </c>
      <c r="D13" s="127">
        <f ca="1">i_rank_2!AB15</f>
        <v>9</v>
      </c>
      <c r="E13" s="128" t="str">
        <f ca="1">i_rank_2!AC15</f>
        <v>Nicaragua</v>
      </c>
      <c r="F13" s="129">
        <f ca="1">i_rank_2!AD15</f>
        <v>58.7</v>
      </c>
      <c r="G13" s="210" t="str">
        <f ca="1">i_rank_2!AF15</f>
        <v>+0.7</v>
      </c>
      <c r="H13" s="209">
        <f ca="1">i_rank_2!AE15</f>
        <v>0.70000000000000284</v>
      </c>
      <c r="J13" s="88">
        <f ca="1">i_rank_2!AO15</f>
        <v>2</v>
      </c>
      <c r="K13" s="127">
        <f ca="1">i_rank_2!AP15</f>
        <v>9</v>
      </c>
      <c r="L13" s="128" t="str">
        <f ca="1">i_rank_2!AQ15</f>
        <v>Honduras</v>
      </c>
      <c r="M13" s="129">
        <f ca="1">i_rank_2!AR15</f>
        <v>50</v>
      </c>
      <c r="N13" s="210" t="str">
        <f ca="1">i_rank_2!AT15</f>
        <v>-</v>
      </c>
      <c r="O13" s="209">
        <f ca="1">i_rank_2!AS15</f>
        <v>0</v>
      </c>
      <c r="Q13" s="88">
        <f ca="1">i_rank_2!BC15</f>
        <v>2</v>
      </c>
      <c r="R13" s="127">
        <f ca="1">i_rank_2!BD15</f>
        <v>9</v>
      </c>
      <c r="S13" s="128" t="str">
        <f ca="1">i_rank_2!BE15</f>
        <v>Bolivia</v>
      </c>
      <c r="T13" s="129">
        <f ca="1">i_rank_2!BF15</f>
        <v>46.1</v>
      </c>
      <c r="U13" s="210">
        <f ca="1">i_rank_2!BH15</f>
        <v>-0.8</v>
      </c>
      <c r="V13" s="209">
        <f ca="1">i_rank_2!BG15</f>
        <v>-0.79999999999999716</v>
      </c>
      <c r="X13" s="88">
        <f ca="1">i_rank_2!BQ15</f>
        <v>2</v>
      </c>
      <c r="Y13" s="127">
        <f ca="1">i_rank_2!BR15</f>
        <v>9</v>
      </c>
      <c r="Z13" s="128" t="str">
        <f ca="1">i_rank_2!BS15</f>
        <v>Colombia</v>
      </c>
      <c r="AA13" s="129">
        <f ca="1">i_rank_2!BT15</f>
        <v>58.3</v>
      </c>
      <c r="AB13" s="210" t="str">
        <f ca="1">i_rank_2!BV15</f>
        <v>-</v>
      </c>
      <c r="AC13" s="209">
        <f ca="1">i_rank_2!BU15</f>
        <v>0</v>
      </c>
    </row>
    <row r="14" spans="1:29" ht="14.25" customHeight="1">
      <c r="B14" s="88">
        <f ca="1">i_rank_2!AA16</f>
        <v>2</v>
      </c>
      <c r="D14" s="127">
        <f ca="1">i_rank_2!AB16</f>
        <v>10</v>
      </c>
      <c r="E14" s="128" t="str">
        <f ca="1">i_rank_2!AC16</f>
        <v>Colombia</v>
      </c>
      <c r="F14" s="129">
        <f ca="1">i_rank_2!AD16</f>
        <v>58.6</v>
      </c>
      <c r="G14" s="210" t="str">
        <f ca="1">i_rank_2!AF16</f>
        <v>-</v>
      </c>
      <c r="H14" s="209">
        <f ca="1">i_rank_2!AE16</f>
        <v>0</v>
      </c>
      <c r="J14" s="88">
        <f ca="1">i_rank_2!AO16</f>
        <v>2</v>
      </c>
      <c r="K14" s="127">
        <f ca="1">i_rank_2!AP16</f>
        <v>10</v>
      </c>
      <c r="L14" s="128" t="str">
        <f ca="1">i_rank_2!AQ16</f>
        <v>Jamaica</v>
      </c>
      <c r="M14" s="129">
        <f ca="1">i_rank_2!AR16</f>
        <v>25</v>
      </c>
      <c r="N14" s="210" t="str">
        <f ca="1">i_rank_2!AT16</f>
        <v>-</v>
      </c>
      <c r="O14" s="209">
        <f ca="1">i_rank_2!AS16</f>
        <v>0</v>
      </c>
      <c r="Q14" s="88">
        <f ca="1">i_rank_2!BC16</f>
        <v>2</v>
      </c>
      <c r="R14" s="127">
        <f ca="1">i_rank_2!BD16</f>
        <v>10</v>
      </c>
      <c r="S14" s="128" t="str">
        <f ca="1">i_rank_2!BE16</f>
        <v>Mexico</v>
      </c>
      <c r="T14" s="129">
        <f ca="1">i_rank_2!BF16</f>
        <v>57.5</v>
      </c>
      <c r="U14" s="210">
        <f ca="1">i_rank_2!BH16</f>
        <v>-0.8</v>
      </c>
      <c r="V14" s="209">
        <f ca="1">i_rank_2!BG16</f>
        <v>-0.79999999999999716</v>
      </c>
      <c r="X14" s="88">
        <f ca="1">i_rank_2!BQ16</f>
        <v>2</v>
      </c>
      <c r="Y14" s="127">
        <f ca="1">i_rank_2!BR16</f>
        <v>10</v>
      </c>
      <c r="Z14" s="128" t="str">
        <f ca="1">i_rank_2!BS16</f>
        <v>Costa Rica</v>
      </c>
      <c r="AA14" s="129">
        <f ca="1">i_rank_2!BT16</f>
        <v>33.299999999999997</v>
      </c>
      <c r="AB14" s="210" t="str">
        <f ca="1">i_rank_2!BV16</f>
        <v>-</v>
      </c>
      <c r="AC14" s="209">
        <f ca="1">i_rank_2!BU16</f>
        <v>0</v>
      </c>
    </row>
    <row r="15" spans="1:29" ht="14.25" customHeight="1">
      <c r="B15" s="88">
        <f ca="1">i_rank_2!AA17</f>
        <v>2</v>
      </c>
      <c r="D15" s="127">
        <f ca="1">i_rank_2!AB17</f>
        <v>11</v>
      </c>
      <c r="E15" s="128" t="str">
        <f ca="1">i_rank_2!AC17</f>
        <v>Uruguay</v>
      </c>
      <c r="F15" s="129">
        <f ca="1">i_rank_2!AD17</f>
        <v>28.4</v>
      </c>
      <c r="G15" s="210" t="str">
        <f ca="1">i_rank_2!AF17</f>
        <v>-</v>
      </c>
      <c r="H15" s="209">
        <f ca="1">i_rank_2!AE17</f>
        <v>0</v>
      </c>
      <c r="J15" s="88">
        <f ca="1">i_rank_2!AO17</f>
        <v>2</v>
      </c>
      <c r="K15" s="127" t="str">
        <f ca="1">i_rank_2!AP17</f>
        <v>=11</v>
      </c>
      <c r="L15" s="128" t="str">
        <f ca="1">i_rank_2!AQ17</f>
        <v>Mexico</v>
      </c>
      <c r="M15" s="129">
        <f ca="1">i_rank_2!AR17</f>
        <v>56.3</v>
      </c>
      <c r="N15" s="210" t="str">
        <f ca="1">i_rank_2!AT17</f>
        <v>-</v>
      </c>
      <c r="O15" s="209">
        <f ca="1">i_rank_2!AS17</f>
        <v>0</v>
      </c>
      <c r="Q15" s="88">
        <f ca="1">i_rank_2!BC17</f>
        <v>2</v>
      </c>
      <c r="R15" s="127">
        <f ca="1">i_rank_2!BD17</f>
        <v>11</v>
      </c>
      <c r="S15" s="128" t="str">
        <f ca="1">i_rank_2!BE17</f>
        <v>Paraguay</v>
      </c>
      <c r="T15" s="129">
        <f ca="1">i_rank_2!BF17</f>
        <v>38.9</v>
      </c>
      <c r="U15" s="210">
        <f ca="1">i_rank_2!BH17</f>
        <v>-0.8</v>
      </c>
      <c r="V15" s="209">
        <f ca="1">i_rank_2!BG17</f>
        <v>-0.80000000000000426</v>
      </c>
      <c r="X15" s="88">
        <f ca="1">i_rank_2!BQ17</f>
        <v>2</v>
      </c>
      <c r="Y15" s="127">
        <f ca="1">i_rank_2!BR17</f>
        <v>11</v>
      </c>
      <c r="Z15" s="128" t="str">
        <f ca="1">i_rank_2!BS17</f>
        <v>Dominican Republic</v>
      </c>
      <c r="AA15" s="129">
        <f ca="1">i_rank_2!BT17</f>
        <v>50</v>
      </c>
      <c r="AB15" s="210" t="str">
        <f ca="1">i_rank_2!BV17</f>
        <v>-</v>
      </c>
      <c r="AC15" s="209">
        <f ca="1">i_rank_2!BU17</f>
        <v>0</v>
      </c>
    </row>
    <row r="16" spans="1:29" ht="13.5" customHeight="1">
      <c r="B16" s="88">
        <f ca="1">i_rank_2!AA18</f>
        <v>2</v>
      </c>
      <c r="D16" s="127">
        <f ca="1">i_rank_2!AB18</f>
        <v>12</v>
      </c>
      <c r="E16" s="128" t="str">
        <f ca="1">i_rank_2!AC18</f>
        <v>Paraguay</v>
      </c>
      <c r="F16" s="129">
        <f ca="1">i_rank_2!AD18</f>
        <v>49.5</v>
      </c>
      <c r="G16" s="210">
        <f ca="1">i_rank_2!AF18</f>
        <v>-0.1</v>
      </c>
      <c r="H16" s="209">
        <f ca="1">i_rank_2!AE18</f>
        <v>-0.10000000000000142</v>
      </c>
      <c r="J16" s="88">
        <f ca="1">i_rank_2!AO18</f>
        <v>2</v>
      </c>
      <c r="K16" s="127" t="str">
        <f ca="1">i_rank_2!AP18</f>
        <v>=11</v>
      </c>
      <c r="L16" s="128" t="str">
        <f ca="1">i_rank_2!AQ18</f>
        <v>Nicaragua</v>
      </c>
      <c r="M16" s="129">
        <f ca="1">i_rank_2!AR18</f>
        <v>56.3</v>
      </c>
      <c r="N16" s="210" t="str">
        <f ca="1">i_rank_2!AT18</f>
        <v>-</v>
      </c>
      <c r="O16" s="209">
        <f ca="1">i_rank_2!AS18</f>
        <v>0</v>
      </c>
      <c r="Q16" s="88">
        <f ca="1">i_rank_2!BC18</f>
        <v>2</v>
      </c>
      <c r="R16" s="127">
        <f ca="1">i_rank_2!BD18</f>
        <v>12</v>
      </c>
      <c r="S16" s="128" t="str">
        <f ca="1">i_rank_2!BE18</f>
        <v>Chile</v>
      </c>
      <c r="T16" s="129">
        <f ca="1">i_rank_2!BF18</f>
        <v>73.3</v>
      </c>
      <c r="U16" s="210">
        <f ca="1">i_rank_2!BH18</f>
        <v>-0.9</v>
      </c>
      <c r="V16" s="209">
        <f ca="1">i_rank_2!BG18</f>
        <v>-0.90000000000000568</v>
      </c>
      <c r="X16" s="88">
        <f ca="1">i_rank_2!BQ18</f>
        <v>2</v>
      </c>
      <c r="Y16" s="127">
        <f ca="1">i_rank_2!BR18</f>
        <v>12</v>
      </c>
      <c r="Z16" s="128" t="str">
        <f ca="1">i_rank_2!BS18</f>
        <v>Guatemala</v>
      </c>
      <c r="AA16" s="129">
        <f ca="1">i_rank_2!BT18</f>
        <v>58.3</v>
      </c>
      <c r="AB16" s="210" t="str">
        <f ca="1">i_rank_2!BV18</f>
        <v>-</v>
      </c>
      <c r="AC16" s="209">
        <f ca="1">i_rank_2!BU18</f>
        <v>0</v>
      </c>
    </row>
    <row r="17" spans="2:29" ht="14.25" customHeight="1">
      <c r="B17" s="88">
        <f ca="1">i_rank_2!AA19</f>
        <v>2</v>
      </c>
      <c r="D17" s="127">
        <f ca="1">i_rank_2!AB19</f>
        <v>13</v>
      </c>
      <c r="E17" s="128" t="str">
        <f ca="1">i_rank_2!AC19</f>
        <v>Mexico</v>
      </c>
      <c r="F17" s="129">
        <f ca="1">i_rank_2!AD19</f>
        <v>47.3</v>
      </c>
      <c r="G17" s="210">
        <f ca="1">i_rank_2!AF19</f>
        <v>-0.2</v>
      </c>
      <c r="H17" s="209">
        <f ca="1">i_rank_2!AE19</f>
        <v>-0.20000000000000284</v>
      </c>
      <c r="J17" s="88">
        <f ca="1">i_rank_2!AO19</f>
        <v>2</v>
      </c>
      <c r="K17" s="127" t="str">
        <f ca="1">i_rank_2!AP19</f>
        <v>=11</v>
      </c>
      <c r="L17" s="128" t="str">
        <f ca="1">i_rank_2!AQ19</f>
        <v>Panama</v>
      </c>
      <c r="M17" s="129">
        <f ca="1">i_rank_2!AR19</f>
        <v>56.3</v>
      </c>
      <c r="N17" s="210" t="str">
        <f ca="1">i_rank_2!AT19</f>
        <v>-</v>
      </c>
      <c r="O17" s="209">
        <f ca="1">i_rank_2!AS19</f>
        <v>0</v>
      </c>
      <c r="Q17" s="88">
        <f ca="1">i_rank_2!BC19</f>
        <v>2</v>
      </c>
      <c r="R17" s="127">
        <f ca="1">i_rank_2!BD19</f>
        <v>13</v>
      </c>
      <c r="S17" s="128" t="str">
        <f ca="1">i_rank_2!BE19</f>
        <v>Costa Rica</v>
      </c>
      <c r="T17" s="129">
        <f ca="1">i_rank_2!BF19</f>
        <v>58.1</v>
      </c>
      <c r="U17" s="210">
        <f ca="1">i_rank_2!BH19</f>
        <v>-1.6</v>
      </c>
      <c r="V17" s="209">
        <f ca="1">i_rank_2!BG19</f>
        <v>-1.6000000000000014</v>
      </c>
      <c r="X17" s="88">
        <f ca="1">i_rank_2!BQ19</f>
        <v>2</v>
      </c>
      <c r="Y17" s="127">
        <f ca="1">i_rank_2!BR19</f>
        <v>13</v>
      </c>
      <c r="Z17" s="128" t="str">
        <f ca="1">i_rank_2!BS19</f>
        <v>Mexico</v>
      </c>
      <c r="AA17" s="129">
        <f ca="1">i_rank_2!BT19</f>
        <v>33.299999999999997</v>
      </c>
      <c r="AB17" s="210" t="str">
        <f ca="1">i_rank_2!BV19</f>
        <v>-</v>
      </c>
      <c r="AC17" s="209">
        <f ca="1">i_rank_2!BU19</f>
        <v>0</v>
      </c>
    </row>
    <row r="18" spans="2:29" ht="14.25" customHeight="1">
      <c r="B18" s="88">
        <f ca="1">i_rank_2!AA20</f>
        <v>2</v>
      </c>
      <c r="D18" s="127">
        <f ca="1">i_rank_2!AB20</f>
        <v>14</v>
      </c>
      <c r="E18" s="128" t="str">
        <f ca="1">i_rank_2!AC20</f>
        <v>Venezuela</v>
      </c>
      <c r="F18" s="129">
        <f ca="1">i_rank_2!AD20</f>
        <v>24.1</v>
      </c>
      <c r="G18" s="210">
        <f ca="1">i_rank_2!AF20</f>
        <v>-0.9</v>
      </c>
      <c r="H18" s="209">
        <f ca="1">i_rank_2!AE20</f>
        <v>-0.89999999999999858</v>
      </c>
      <c r="J18" s="88">
        <f ca="1">i_rank_2!AO20</f>
        <v>2</v>
      </c>
      <c r="K18" s="127">
        <f ca="1">i_rank_2!AP20</f>
        <v>14</v>
      </c>
      <c r="L18" s="128" t="str">
        <f ca="1">i_rank_2!AQ20</f>
        <v>Paraguay</v>
      </c>
      <c r="M18" s="129">
        <f ca="1">i_rank_2!AR20</f>
        <v>62.5</v>
      </c>
      <c r="N18" s="210" t="str">
        <f ca="1">i_rank_2!AT20</f>
        <v>-</v>
      </c>
      <c r="O18" s="209">
        <f ca="1">i_rank_2!AS20</f>
        <v>0</v>
      </c>
      <c r="Q18" s="88">
        <f ca="1">i_rank_2!BC20</f>
        <v>2</v>
      </c>
      <c r="R18" s="127">
        <f ca="1">i_rank_2!BD20</f>
        <v>14</v>
      </c>
      <c r="S18" s="128" t="str">
        <f ca="1">i_rank_2!BE20</f>
        <v>Peru</v>
      </c>
      <c r="T18" s="129">
        <f ca="1">i_rank_2!BF20</f>
        <v>56.4</v>
      </c>
      <c r="U18" s="210">
        <f ca="1">i_rank_2!BH20</f>
        <v>-1.6</v>
      </c>
      <c r="V18" s="209">
        <f ca="1">i_rank_2!BG20</f>
        <v>-1.6000000000000014</v>
      </c>
      <c r="X18" s="88">
        <f ca="1">i_rank_2!BQ20</f>
        <v>2</v>
      </c>
      <c r="Y18" s="127">
        <f ca="1">i_rank_2!BR20</f>
        <v>14</v>
      </c>
      <c r="Z18" s="128" t="str">
        <f ca="1">i_rank_2!BS20</f>
        <v>Nicaragua</v>
      </c>
      <c r="AA18" s="129">
        <f ca="1">i_rank_2!BT20</f>
        <v>66.7</v>
      </c>
      <c r="AB18" s="210" t="str">
        <f ca="1">i_rank_2!BV20</f>
        <v>-</v>
      </c>
      <c r="AC18" s="209">
        <f ca="1">i_rank_2!BU20</f>
        <v>0</v>
      </c>
    </row>
    <row r="19" spans="2:29" ht="14.25" customHeight="1">
      <c r="B19" s="88">
        <f ca="1">i_rank_2!AA21</f>
        <v>2</v>
      </c>
      <c r="D19" s="127">
        <f ca="1">i_rank_2!AB21</f>
        <v>15</v>
      </c>
      <c r="E19" s="128" t="str">
        <f ca="1">i_rank_2!AC21</f>
        <v>Dominican Republic</v>
      </c>
      <c r="F19" s="129">
        <f ca="1">i_rank_2!AD21</f>
        <v>47</v>
      </c>
      <c r="G19" s="210">
        <f ca="1">i_rank_2!AF21</f>
        <v>-1</v>
      </c>
      <c r="H19" s="209">
        <f ca="1">i_rank_2!AE21</f>
        <v>-1</v>
      </c>
      <c r="J19" s="88">
        <f ca="1">i_rank_2!AO21</f>
        <v>2</v>
      </c>
      <c r="K19" s="127">
        <f ca="1">i_rank_2!AP21</f>
        <v>15</v>
      </c>
      <c r="L19" s="128" t="str">
        <f ca="1">i_rank_2!AQ21</f>
        <v>Uruguay</v>
      </c>
      <c r="M19" s="129">
        <f ca="1">i_rank_2!AR21</f>
        <v>31.3</v>
      </c>
      <c r="N19" s="210" t="str">
        <f ca="1">i_rank_2!AT21</f>
        <v>-</v>
      </c>
      <c r="O19" s="209">
        <f ca="1">i_rank_2!AS21</f>
        <v>0</v>
      </c>
      <c r="Q19" s="88">
        <f ca="1">i_rank_2!BC21</f>
        <v>2</v>
      </c>
      <c r="R19" s="127">
        <f ca="1">i_rank_2!BD21</f>
        <v>15</v>
      </c>
      <c r="S19" s="128" t="str">
        <f ca="1">i_rank_2!BE21</f>
        <v>El Salvador</v>
      </c>
      <c r="T19" s="129">
        <f ca="1">i_rank_2!BF21</f>
        <v>45.8</v>
      </c>
      <c r="U19" s="210">
        <f ca="1">i_rank_2!BH21</f>
        <v>-3.4</v>
      </c>
      <c r="V19" s="209">
        <f ca="1">i_rank_2!BG21</f>
        <v>-3.4000000000000057</v>
      </c>
      <c r="X19" s="88">
        <f ca="1">i_rank_2!BQ21</f>
        <v>2</v>
      </c>
      <c r="Y19" s="127">
        <f ca="1">i_rank_2!BR21</f>
        <v>15</v>
      </c>
      <c r="Z19" s="128" t="str">
        <f ca="1">i_rank_2!BS21</f>
        <v>Paraguay</v>
      </c>
      <c r="AA19" s="129">
        <f ca="1">i_rank_2!BT21</f>
        <v>41.7</v>
      </c>
      <c r="AB19" s="210" t="str">
        <f ca="1">i_rank_2!BV21</f>
        <v>-</v>
      </c>
      <c r="AC19" s="209">
        <f ca="1">i_rank_2!BU21</f>
        <v>0</v>
      </c>
    </row>
    <row r="20" spans="2:29" ht="14.25" customHeight="1">
      <c r="B20" s="88">
        <f ca="1">i_rank_2!AA22</f>
        <v>2</v>
      </c>
      <c r="D20" s="127">
        <f ca="1">i_rank_2!AB22</f>
        <v>16</v>
      </c>
      <c r="E20" s="128" t="str">
        <f ca="1">i_rank_2!AC22</f>
        <v>El Salvador</v>
      </c>
      <c r="F20" s="129">
        <f ca="1">i_rank_2!AD22</f>
        <v>57.5</v>
      </c>
      <c r="G20" s="210">
        <f ca="1">i_rank_2!AF22</f>
        <v>-1.5</v>
      </c>
      <c r="H20" s="209">
        <f ca="1">i_rank_2!AE22</f>
        <v>-1.5</v>
      </c>
      <c r="J20" s="88">
        <f ca="1">i_rank_2!AO22</f>
        <v>2</v>
      </c>
      <c r="K20" s="127">
        <f ca="1">i_rank_2!AP22</f>
        <v>16</v>
      </c>
      <c r="L20" s="128" t="str">
        <f ca="1">i_rank_2!AQ22</f>
        <v>Venezuela</v>
      </c>
      <c r="M20" s="129">
        <f ca="1">i_rank_2!AR22</f>
        <v>25</v>
      </c>
      <c r="N20" s="210" t="str">
        <f ca="1">i_rank_2!AT22</f>
        <v>-</v>
      </c>
      <c r="O20" s="209">
        <f ca="1">i_rank_2!AS22</f>
        <v>0</v>
      </c>
      <c r="Q20" s="88">
        <f ca="1">i_rank_2!BC22</f>
        <v>2</v>
      </c>
      <c r="R20" s="127">
        <f ca="1">i_rank_2!BD22</f>
        <v>16</v>
      </c>
      <c r="S20" s="128" t="str">
        <f ca="1">i_rank_2!BE22</f>
        <v>Jamaica</v>
      </c>
      <c r="T20" s="129">
        <f ca="1">i_rank_2!BF22</f>
        <v>51.7</v>
      </c>
      <c r="U20" s="210">
        <f ca="1">i_rank_2!BH22</f>
        <v>-4.0999999999999996</v>
      </c>
      <c r="V20" s="209">
        <f ca="1">i_rank_2!BG22</f>
        <v>-4.0999999999999943</v>
      </c>
      <c r="X20" s="88">
        <f ca="1">i_rank_2!BQ22</f>
        <v>2</v>
      </c>
      <c r="Y20" s="127">
        <f ca="1">i_rank_2!BR22</f>
        <v>16</v>
      </c>
      <c r="Z20" s="128" t="str">
        <f ca="1">i_rank_2!BS22</f>
        <v>Peru</v>
      </c>
      <c r="AA20" s="129">
        <f ca="1">i_rank_2!BT22</f>
        <v>75</v>
      </c>
      <c r="AB20" s="210" t="str">
        <f ca="1">i_rank_2!BV22</f>
        <v>-</v>
      </c>
      <c r="AC20" s="209">
        <f ca="1">i_rank_2!BU22</f>
        <v>0</v>
      </c>
    </row>
    <row r="21" spans="2:29" ht="14.25" customHeight="1">
      <c r="B21" s="88">
        <f ca="1">i_rank_2!AA23</f>
        <v>2</v>
      </c>
      <c r="D21" s="127">
        <f ca="1">i_rank_2!AB23</f>
        <v>17</v>
      </c>
      <c r="E21" s="128" t="str">
        <f ca="1">i_rank_2!AC23</f>
        <v>Guatemala</v>
      </c>
      <c r="F21" s="129">
        <f ca="1">i_rank_2!AD23</f>
        <v>51.8</v>
      </c>
      <c r="G21" s="210">
        <f ca="1">i_rank_2!AF23</f>
        <v>-2.2000000000000002</v>
      </c>
      <c r="H21" s="209">
        <f ca="1">i_rank_2!AE23</f>
        <v>-2.2000000000000028</v>
      </c>
      <c r="J21" s="88">
        <f ca="1">i_rank_2!AO23</f>
        <v>2</v>
      </c>
      <c r="K21" s="127">
        <f ca="1">i_rank_2!AP23</f>
        <v>17</v>
      </c>
      <c r="L21" s="128" t="str">
        <f ca="1">i_rank_2!AQ23</f>
        <v>Bolivia</v>
      </c>
      <c r="M21" s="129">
        <f ca="1">i_rank_2!AR23</f>
        <v>81.3</v>
      </c>
      <c r="N21" s="210">
        <f ca="1">i_rank_2!AT23</f>
        <v>-6.2</v>
      </c>
      <c r="O21" s="209">
        <f ca="1">i_rank_2!AS23</f>
        <v>-6.2000000000000028</v>
      </c>
      <c r="Q21" s="88">
        <f ca="1">i_rank_2!BC23</f>
        <v>2</v>
      </c>
      <c r="R21" s="127">
        <f ca="1">i_rank_2!BD23</f>
        <v>17</v>
      </c>
      <c r="S21" s="128" t="str">
        <f ca="1">i_rank_2!BE23</f>
        <v>Ecuador</v>
      </c>
      <c r="T21" s="129">
        <f ca="1">i_rank_2!BF23</f>
        <v>27.5</v>
      </c>
      <c r="U21" s="210">
        <f ca="1">i_rank_2!BH23</f>
        <v>-4.2</v>
      </c>
      <c r="V21" s="209">
        <f ca="1">i_rank_2!BG23</f>
        <v>-4.1999999999999993</v>
      </c>
      <c r="X21" s="88">
        <f ca="1">i_rank_2!BQ23</f>
        <v>2</v>
      </c>
      <c r="Y21" s="127" t="str">
        <f ca="1">i_rank_2!BR23</f>
        <v>=17</v>
      </c>
      <c r="Z21" s="128" t="str">
        <f ca="1">i_rank_2!BS23</f>
        <v>Uruguay</v>
      </c>
      <c r="AA21" s="129">
        <f ca="1">i_rank_2!BT23</f>
        <v>16.7</v>
      </c>
      <c r="AB21" s="210" t="str">
        <f ca="1">i_rank_2!BV23</f>
        <v>-</v>
      </c>
      <c r="AC21" s="209">
        <f ca="1">i_rank_2!BU23</f>
        <v>0</v>
      </c>
    </row>
    <row r="22" spans="2:29" ht="14.25" customHeight="1">
      <c r="B22" s="88">
        <f ca="1">i_rank_2!AA24</f>
        <v>2</v>
      </c>
      <c r="D22" s="127">
        <f ca="1">i_rank_2!AB24</f>
        <v>18</v>
      </c>
      <c r="E22" s="128" t="str">
        <f ca="1">i_rank_2!AC24</f>
        <v>Bolivia</v>
      </c>
      <c r="F22" s="129">
        <f ca="1">i_rank_2!AD24</f>
        <v>71.7</v>
      </c>
      <c r="G22" s="210">
        <f ca="1">i_rank_2!AF24</f>
        <v>-2.7</v>
      </c>
      <c r="H22" s="209">
        <f ca="1">i_rank_2!AE24</f>
        <v>-2.7000000000000028</v>
      </c>
      <c r="J22" s="88">
        <f ca="1">i_rank_2!AO24</f>
        <v>2</v>
      </c>
      <c r="K22" s="127">
        <f ca="1">i_rank_2!AP24</f>
        <v>18</v>
      </c>
      <c r="L22" s="128" t="str">
        <f ca="1">i_rank_2!AQ24</f>
        <v>Ecuador</v>
      </c>
      <c r="M22" s="129">
        <f ca="1">i_rank_2!AR24</f>
        <v>68.8</v>
      </c>
      <c r="N22" s="210">
        <f ca="1">i_rank_2!AT24</f>
        <v>-6.2</v>
      </c>
      <c r="O22" s="209">
        <f ca="1">i_rank_2!AS24</f>
        <v>-6.2000000000000028</v>
      </c>
      <c r="Q22" s="88">
        <f ca="1">i_rank_2!BC24</f>
        <v>2</v>
      </c>
      <c r="R22" s="127">
        <f ca="1">i_rank_2!BD24</f>
        <v>18</v>
      </c>
      <c r="S22" s="128" t="str">
        <f ca="1">i_rank_2!BE24</f>
        <v>Venezuela</v>
      </c>
      <c r="T22" s="129">
        <f ca="1">i_rank_2!BF24</f>
        <v>37.200000000000003</v>
      </c>
      <c r="U22" s="210">
        <f ca="1">i_rank_2!BH24</f>
        <v>-4.2</v>
      </c>
      <c r="V22" s="209">
        <f ca="1">i_rank_2!BG24</f>
        <v>-4.1999999999999957</v>
      </c>
      <c r="X22" s="88">
        <f ca="1">i_rank_2!BQ24</f>
        <v>2</v>
      </c>
      <c r="Y22" s="127" t="str">
        <f ca="1">i_rank_2!BR24</f>
        <v>=17</v>
      </c>
      <c r="Z22" s="128" t="str">
        <f ca="1">i_rank_2!BS24</f>
        <v>Venezuela</v>
      </c>
      <c r="AA22" s="129">
        <f ca="1">i_rank_2!BT24</f>
        <v>16.7</v>
      </c>
      <c r="AB22" s="210" t="str">
        <f ca="1">i_rank_2!BV24</f>
        <v>-</v>
      </c>
      <c r="AC22" s="209">
        <f ca="1">i_rank_2!BU24</f>
        <v>0</v>
      </c>
    </row>
    <row r="23" spans="2:29" ht="14.25" customHeight="1">
      <c r="B23" s="88">
        <f ca="1">i_rank_2!AA25</f>
        <v>2</v>
      </c>
      <c r="D23" s="127">
        <f ca="1">i_rank_2!AB25</f>
        <v>19</v>
      </c>
      <c r="E23" s="128" t="str">
        <f ca="1">i_rank_2!AC25</f>
        <v>Peru</v>
      </c>
      <c r="F23" s="129">
        <f ca="1">i_rank_2!AD25</f>
        <v>73.8</v>
      </c>
      <c r="G23" s="210">
        <f ca="1">i_rank_2!AF25</f>
        <v>-2.8</v>
      </c>
      <c r="H23" s="209">
        <f ca="1">i_rank_2!AE25</f>
        <v>-2.7999999999999972</v>
      </c>
      <c r="J23" s="88">
        <f ca="1">i_rank_2!AO25</f>
        <v>2</v>
      </c>
      <c r="K23" s="127">
        <f ca="1">i_rank_2!AP25</f>
        <v>19</v>
      </c>
      <c r="L23" s="128" t="str">
        <f ca="1">i_rank_2!AQ25</f>
        <v>Peru</v>
      </c>
      <c r="M23" s="129">
        <f ca="1">i_rank_2!AR25</f>
        <v>81.3</v>
      </c>
      <c r="N23" s="210">
        <f ca="1">i_rank_2!AT25</f>
        <v>-6.2</v>
      </c>
      <c r="O23" s="209">
        <f ca="1">i_rank_2!AS25</f>
        <v>-6.2000000000000028</v>
      </c>
      <c r="Q23" s="88">
        <f ca="1">i_rank_2!BC25</f>
        <v>2</v>
      </c>
      <c r="R23" s="127">
        <f ca="1">i_rank_2!BD25</f>
        <v>19</v>
      </c>
      <c r="S23" s="128" t="str">
        <f ca="1">i_rank_2!BE25</f>
        <v>Dominican Republic</v>
      </c>
      <c r="T23" s="129">
        <f ca="1">i_rank_2!BF25</f>
        <v>35</v>
      </c>
      <c r="U23" s="210">
        <f ca="1">i_rank_2!BH25</f>
        <v>-5</v>
      </c>
      <c r="V23" s="209">
        <f ca="1">i_rank_2!BG25</f>
        <v>-5</v>
      </c>
      <c r="X23" s="88">
        <f ca="1">i_rank_2!BQ25</f>
        <v>2</v>
      </c>
      <c r="Y23" s="127">
        <f ca="1">i_rank_2!BR25</f>
        <v>19</v>
      </c>
      <c r="Z23" s="128" t="str">
        <f ca="1">i_rank_2!BS25</f>
        <v>El Salvador</v>
      </c>
      <c r="AA23" s="129">
        <f ca="1">i_rank_2!BT25</f>
        <v>58.3</v>
      </c>
      <c r="AB23" s="210">
        <f ca="1">i_rank_2!BV25</f>
        <v>-8.4</v>
      </c>
      <c r="AC23" s="209">
        <f ca="1">i_rank_2!BU25</f>
        <v>-8.4000000000000057</v>
      </c>
    </row>
    <row r="24" spans="2:29" ht="14.25" customHeight="1">
      <c r="B24" s="88">
        <f ca="1">i_rank_2!AA26</f>
        <v>2</v>
      </c>
      <c r="D24" s="127">
        <f ca="1">i_rank_2!AB26</f>
        <v>20</v>
      </c>
      <c r="E24" s="128" t="str">
        <f ca="1">i_rank_2!AC26</f>
        <v>Ecuador</v>
      </c>
      <c r="F24" s="129">
        <f ca="1">i_rank_2!AD26</f>
        <v>59.7</v>
      </c>
      <c r="G24" s="210">
        <f ca="1">i_rank_2!AF26</f>
        <v>-10</v>
      </c>
      <c r="H24" s="209">
        <f ca="1">i_rank_2!AE26</f>
        <v>-10</v>
      </c>
      <c r="J24" s="88">
        <f ca="1">i_rank_2!AO26</f>
        <v>2</v>
      </c>
      <c r="K24" s="127">
        <f ca="1">i_rank_2!AP26</f>
        <v>20</v>
      </c>
      <c r="L24" s="128" t="str">
        <f ca="1">i_rank_2!AQ26</f>
        <v>Guatemala</v>
      </c>
      <c r="M24" s="129">
        <f ca="1">i_rank_2!AR26</f>
        <v>50</v>
      </c>
      <c r="N24" s="210">
        <f ca="1">i_rank_2!AT26</f>
        <v>-6.3</v>
      </c>
      <c r="O24" s="209">
        <f ca="1">i_rank_2!AS26</f>
        <v>-6.2999999999999972</v>
      </c>
      <c r="Q24" s="88">
        <f ca="1">i_rank_2!BC26</f>
        <v>2</v>
      </c>
      <c r="R24" s="127">
        <f ca="1">i_rank_2!BD26</f>
        <v>20</v>
      </c>
      <c r="S24" s="128" t="str">
        <f ca="1">i_rank_2!BE26</f>
        <v>Honduras</v>
      </c>
      <c r="T24" s="129">
        <f ca="1">i_rank_2!BF26</f>
        <v>29.7</v>
      </c>
      <c r="U24" s="210">
        <f ca="1">i_rank_2!BH26</f>
        <v>-5.8</v>
      </c>
      <c r="V24" s="209">
        <f ca="1">i_rank_2!BG26</f>
        <v>-5.8000000000000007</v>
      </c>
      <c r="X24" s="88">
        <f ca="1">i_rank_2!BQ26</f>
        <v>2</v>
      </c>
      <c r="Y24" s="127">
        <f ca="1">i_rank_2!BR26</f>
        <v>20</v>
      </c>
      <c r="Z24" s="128" t="str">
        <f ca="1">i_rank_2!BS26</f>
        <v>Ecuador</v>
      </c>
      <c r="AA24" s="129">
        <f ca="1">i_rank_2!BT26</f>
        <v>66.7</v>
      </c>
      <c r="AB24" s="210">
        <f ca="1">i_rank_2!BV26</f>
        <v>-16.600000000000001</v>
      </c>
      <c r="AC24" s="209">
        <f ca="1">i_rank_2!BU26</f>
        <v>-16.599999999999994</v>
      </c>
    </row>
  </sheetData>
  <sheetProtection password="B7E9" sheet="1" objects="1" scenarios="1" selectLockedCells="1" selectUnlockedCells="1"/>
  <phoneticPr fontId="68" type="noConversion"/>
  <conditionalFormatting sqref="K5:K24 R5:R24 Y5:Y24">
    <cfRule type="expression" dxfId="20" priority="1" stopIfTrue="1">
      <formula>J5=3</formula>
    </cfRule>
    <cfRule type="expression" dxfId="19" priority="2" stopIfTrue="1">
      <formula>J5=1</formula>
    </cfRule>
    <cfRule type="expression" dxfId="18" priority="3" stopIfTrue="1">
      <formula>J5=0</formula>
    </cfRule>
  </conditionalFormatting>
  <conditionalFormatting sqref="L5:L24 S5:S24 Z5:Z24">
    <cfRule type="expression" dxfId="17" priority="4" stopIfTrue="1">
      <formula>J5=3</formula>
    </cfRule>
    <cfRule type="expression" dxfId="16" priority="5" stopIfTrue="1">
      <formula>J5=1</formula>
    </cfRule>
    <cfRule type="expression" dxfId="15" priority="6" stopIfTrue="1">
      <formula>J5=0</formula>
    </cfRule>
  </conditionalFormatting>
  <conditionalFormatting sqref="M5:M24 T5:T24 AA5:AA24 E5:E24">
    <cfRule type="expression" dxfId="14" priority="7" stopIfTrue="1">
      <formula>B5=3</formula>
    </cfRule>
    <cfRule type="expression" dxfId="13" priority="8" stopIfTrue="1">
      <formula>B5=1</formula>
    </cfRule>
    <cfRule type="expression" dxfId="12" priority="9" stopIfTrue="1">
      <formula>B5=0</formula>
    </cfRule>
  </conditionalFormatting>
  <conditionalFormatting sqref="N5:N24 U5:U24 AB5:AB24">
    <cfRule type="expression" dxfId="11" priority="10" stopIfTrue="1">
      <formula>J5=3</formula>
    </cfRule>
    <cfRule type="expression" dxfId="10" priority="11" stopIfTrue="1">
      <formula>O5&gt;0</formula>
    </cfRule>
    <cfRule type="expression" dxfId="9" priority="12" stopIfTrue="1">
      <formula>O5&lt;0</formula>
    </cfRule>
  </conditionalFormatting>
  <conditionalFormatting sqref="D5:D24">
    <cfRule type="expression" dxfId="8" priority="13" stopIfTrue="1">
      <formula>B5=3</formula>
    </cfRule>
    <cfRule type="expression" dxfId="7" priority="14" stopIfTrue="1">
      <formula>B5=1</formula>
    </cfRule>
    <cfRule type="expression" dxfId="6" priority="15" stopIfTrue="1">
      <formula>B5=0</formula>
    </cfRule>
  </conditionalFormatting>
  <conditionalFormatting sqref="F5:F24">
    <cfRule type="expression" dxfId="5" priority="19" stopIfTrue="1">
      <formula>B5=3</formula>
    </cfRule>
    <cfRule type="expression" dxfId="4" priority="20" stopIfTrue="1">
      <formula>B5=1</formula>
    </cfRule>
    <cfRule type="expression" dxfId="3" priority="21" stopIfTrue="1">
      <formula>B5=0</formula>
    </cfRule>
  </conditionalFormatting>
  <conditionalFormatting sqref="G5:G24">
    <cfRule type="expression" dxfId="2" priority="22" stopIfTrue="1">
      <formula>B5=3</formula>
    </cfRule>
    <cfRule type="expression" dxfId="1" priority="23" stopIfTrue="1">
      <formula>H5&gt;0</formula>
    </cfRule>
    <cfRule type="expression" dxfId="0" priority="24" stopIfTrue="1">
      <formula>H5&lt;0</formula>
    </cfRule>
  </conditionalFormatting>
  <pageMargins left="0.7" right="0.7" top="0.75" bottom="0.75" header="0.3" footer="0.3"/>
  <pageSetup orientation="portrait" r:id="rId1"/>
  <legacyDrawing r:id="rId2"/>
</worksheet>
</file>

<file path=xl/worksheets/sheet26.xml><?xml version="1.0" encoding="utf-8"?>
<worksheet xmlns="http://schemas.openxmlformats.org/spreadsheetml/2006/main" xmlns:r="http://schemas.openxmlformats.org/officeDocument/2006/relationships">
  <sheetPr codeName="Sheet20"/>
  <dimension ref="A1:I38"/>
  <sheetViews>
    <sheetView showGridLines="0" showRowColHeaders="0" workbookViewId="0">
      <selection activeCell="E22" sqref="E22"/>
    </sheetView>
  </sheetViews>
  <sheetFormatPr defaultRowHeight="12.75"/>
  <cols>
    <col min="1" max="1" width="2" customWidth="1"/>
    <col min="2" max="2" width="28.85546875" customWidth="1"/>
    <col min="3" max="4" width="2.85546875" customWidth="1"/>
    <col min="5" max="5" width="54" customWidth="1"/>
    <col min="6" max="9" width="9.28515625" customWidth="1"/>
  </cols>
  <sheetData>
    <row r="1" spans="1:6" ht="21">
      <c r="A1" s="123" t="s">
        <v>1148</v>
      </c>
      <c r="B1" s="123"/>
      <c r="C1" s="123"/>
      <c r="E1" s="112" t="s">
        <v>1147</v>
      </c>
      <c r="F1" s="112" t="s">
        <v>1160</v>
      </c>
    </row>
    <row r="2" spans="1:6">
      <c r="A2" s="26"/>
      <c r="B2" s="33" t="s">
        <v>1162</v>
      </c>
      <c r="C2" s="27"/>
    </row>
    <row r="3" spans="1:6">
      <c r="A3" s="26"/>
      <c r="B3" s="26"/>
      <c r="C3" s="27"/>
    </row>
    <row r="4" spans="1:6">
      <c r="A4" s="26"/>
      <c r="B4" s="26"/>
      <c r="C4" s="27"/>
    </row>
    <row r="5" spans="1:6">
      <c r="A5" s="26"/>
      <c r="B5" s="26"/>
      <c r="C5" s="27"/>
    </row>
    <row r="6" spans="1:6">
      <c r="A6" s="26"/>
      <c r="B6" s="26"/>
      <c r="C6" s="27"/>
    </row>
    <row r="7" spans="1:6">
      <c r="A7" s="26"/>
      <c r="B7" s="26"/>
      <c r="C7" s="27"/>
    </row>
    <row r="8" spans="1:6">
      <c r="A8" s="26"/>
      <c r="B8" s="26"/>
      <c r="C8" s="27"/>
    </row>
    <row r="9" spans="1:6">
      <c r="A9" s="26"/>
      <c r="B9" s="26"/>
      <c r="C9" s="27"/>
    </row>
    <row r="10" spans="1:6" ht="15">
      <c r="A10" s="26"/>
      <c r="B10" s="26"/>
      <c r="C10" s="27"/>
      <c r="E10" s="112" t="s">
        <v>1161</v>
      </c>
      <c r="F10" s="112" t="s">
        <v>1130</v>
      </c>
    </row>
    <row r="11" spans="1:6">
      <c r="A11" s="26"/>
      <c r="B11" s="26"/>
      <c r="C11" s="27"/>
    </row>
    <row r="12" spans="1:6">
      <c r="A12" s="26"/>
      <c r="B12" s="26"/>
      <c r="C12" s="27"/>
    </row>
    <row r="13" spans="1:6">
      <c r="A13" s="26"/>
      <c r="B13" s="26"/>
      <c r="C13" s="27"/>
    </row>
    <row r="14" spans="1:6">
      <c r="A14" s="26"/>
      <c r="B14" s="26"/>
      <c r="C14" s="27"/>
    </row>
    <row r="15" spans="1:6">
      <c r="A15" s="26"/>
      <c r="B15" s="26"/>
      <c r="C15" s="27"/>
    </row>
    <row r="16" spans="1:6">
      <c r="A16" s="26"/>
      <c r="B16" s="26"/>
      <c r="C16" s="27"/>
    </row>
    <row r="17" spans="1:9">
      <c r="A17" s="26"/>
      <c r="B17" s="26"/>
      <c r="C17" s="27"/>
    </row>
    <row r="18" spans="1:9" ht="25.5" customHeight="1">
      <c r="A18" s="26"/>
      <c r="B18" s="26"/>
      <c r="C18" s="27"/>
      <c r="E18" s="132"/>
      <c r="F18" s="165" t="str">
        <f ca="1">i_country!D1</f>
        <v>DRC</v>
      </c>
      <c r="G18" s="165" t="str">
        <f ca="1">i_country!D2</f>
        <v>Chile</v>
      </c>
      <c r="H18" s="165" t="str">
        <f ca="1">i_country!D3</f>
        <v>Armenia</v>
      </c>
      <c r="I18" s="165" t="str">
        <f ca="1">i_country!D4</f>
        <v>Bangladesh</v>
      </c>
    </row>
    <row r="19" spans="1:9">
      <c r="A19" s="26"/>
      <c r="B19" s="26"/>
      <c r="C19" s="27"/>
      <c r="E19" s="163" t="s">
        <v>1147</v>
      </c>
      <c r="F19" s="164">
        <f ca="1">i_country!E6</f>
        <v>36.799999999999997</v>
      </c>
      <c r="G19" s="164">
        <f ca="1">i_country!F6</f>
        <v>48</v>
      </c>
      <c r="H19" s="164">
        <f ca="1">i_country!G6</f>
        <v>43.9</v>
      </c>
      <c r="I19" s="164">
        <f ca="1">i_country!H6</f>
        <v>42.7</v>
      </c>
    </row>
    <row r="20" spans="1:9" ht="15.75" customHeight="1">
      <c r="A20" s="26"/>
      <c r="B20" s="26"/>
      <c r="C20" s="27"/>
      <c r="E20" s="157" t="s">
        <v>1129</v>
      </c>
      <c r="F20" s="158">
        <f ca="1">i_country!E7</f>
        <v>62.5</v>
      </c>
      <c r="G20" s="158">
        <f ca="1">i_country!F7</f>
        <v>50</v>
      </c>
      <c r="H20" s="158">
        <f ca="1">i_country!G7</f>
        <v>50</v>
      </c>
      <c r="I20" s="158">
        <f ca="1">i_country!H7</f>
        <v>43.8</v>
      </c>
    </row>
    <row r="21" spans="1:9">
      <c r="A21" s="26"/>
      <c r="B21" s="26"/>
      <c r="C21" s="27"/>
      <c r="E21" s="159" t="str">
        <f ca="1">i_country!E13</f>
        <v>Regulation of microcredit operations</v>
      </c>
      <c r="F21" s="160">
        <f ca="1">i_country!F13</f>
        <v>2</v>
      </c>
      <c r="G21" s="160">
        <f ca="1">i_country!G13</f>
        <v>3</v>
      </c>
      <c r="H21" s="160">
        <f ca="1">i_country!H13</f>
        <v>3</v>
      </c>
      <c r="I21" s="160">
        <f ca="1">i_country!I13</f>
        <v>2</v>
      </c>
    </row>
    <row r="22" spans="1:9">
      <c r="A22" s="26"/>
      <c r="B22" s="26"/>
      <c r="C22" s="27"/>
      <c r="E22" s="159" t="str">
        <f ca="1">i_country!E14</f>
        <v>Formation and operation of regulated, specialised MFIs</v>
      </c>
      <c r="F22" s="160">
        <f ca="1">i_country!F14</f>
        <v>3</v>
      </c>
      <c r="G22" s="160">
        <f ca="1">i_country!G14</f>
        <v>2</v>
      </c>
      <c r="H22" s="160">
        <f ca="1">i_country!H14</f>
        <v>2</v>
      </c>
      <c r="I22" s="160">
        <f ca="1">i_country!I14</f>
        <v>1</v>
      </c>
    </row>
    <row r="23" spans="1:9">
      <c r="A23" s="26"/>
      <c r="B23" s="26"/>
      <c r="C23" s="27"/>
      <c r="E23" s="159" t="str">
        <f ca="1">i_country!E15</f>
        <v>Formation and operation of non-regulated MFIs</v>
      </c>
      <c r="F23" s="160">
        <f ca="1">i_country!F15</f>
        <v>3</v>
      </c>
      <c r="G23" s="160">
        <f ca="1">i_country!G15</f>
        <v>2</v>
      </c>
      <c r="H23" s="160">
        <f ca="1">i_country!H15</f>
        <v>0</v>
      </c>
      <c r="I23" s="160">
        <f ca="1">i_country!I15</f>
        <v>2</v>
      </c>
    </row>
    <row r="24" spans="1:9">
      <c r="A24" s="26"/>
      <c r="B24" s="26"/>
      <c r="C24" s="27"/>
      <c r="E24" s="159" t="str">
        <f ca="1">i_country!E16</f>
        <v>Regulatory and examination capacity</v>
      </c>
      <c r="F24" s="160">
        <f ca="1">i_country!F16</f>
        <v>2</v>
      </c>
      <c r="G24" s="160">
        <f ca="1">i_country!G16</f>
        <v>1</v>
      </c>
      <c r="H24" s="160">
        <f ca="1">i_country!H16</f>
        <v>3</v>
      </c>
      <c r="I24" s="160">
        <f ca="1">i_country!I16</f>
        <v>2</v>
      </c>
    </row>
    <row r="25" spans="1:9" ht="18" customHeight="1">
      <c r="A25" s="26"/>
      <c r="B25" s="26"/>
      <c r="C25" s="27"/>
      <c r="E25" s="161" t="s">
        <v>912</v>
      </c>
      <c r="F25" s="162">
        <f ca="1">i_country!E8</f>
        <v>25.8</v>
      </c>
      <c r="G25" s="162">
        <f ca="1">i_country!F8</f>
        <v>73.3</v>
      </c>
      <c r="H25" s="162">
        <f ca="1">i_country!G8</f>
        <v>53.1</v>
      </c>
      <c r="I25" s="162">
        <f ca="1">i_country!H8</f>
        <v>42.5</v>
      </c>
    </row>
    <row r="26" spans="1:9">
      <c r="A26" s="26"/>
      <c r="B26" s="26"/>
      <c r="C26" s="27"/>
      <c r="E26" s="159" t="str">
        <f ca="1">i_country!E17</f>
        <v>Political stability</v>
      </c>
      <c r="F26" s="160">
        <f ca="1">i_country!F17</f>
        <v>1.2</v>
      </c>
      <c r="G26" s="160">
        <f ca="1">i_country!G17</f>
        <v>3</v>
      </c>
      <c r="H26" s="160">
        <f ca="1">i_country!H17</f>
        <v>1</v>
      </c>
      <c r="I26" s="160">
        <f ca="1">i_country!I17</f>
        <v>1.8</v>
      </c>
    </row>
    <row r="27" spans="1:9">
      <c r="A27" s="26"/>
      <c r="B27" s="26"/>
      <c r="C27" s="27"/>
      <c r="E27" s="159" t="str">
        <f ca="1">i_country!E18</f>
        <v>Capital market development</v>
      </c>
      <c r="F27" s="160">
        <f ca="1">i_country!F18</f>
        <v>1</v>
      </c>
      <c r="G27" s="160">
        <f ca="1">i_country!G18</f>
        <v>3.6</v>
      </c>
      <c r="H27" s="160">
        <f ca="1">i_country!H18</f>
        <v>1.4</v>
      </c>
      <c r="I27" s="160">
        <f ca="1">i_country!I18</f>
        <v>2.4</v>
      </c>
    </row>
    <row r="28" spans="1:9">
      <c r="A28" s="26"/>
      <c r="B28" s="26"/>
      <c r="C28" s="27"/>
      <c r="E28" s="159" t="str">
        <f ca="1">i_country!E19</f>
        <v>Judicial system</v>
      </c>
      <c r="F28" s="160">
        <f ca="1">i_country!F19</f>
        <v>0</v>
      </c>
      <c r="G28" s="160">
        <f ca="1">i_country!G19</f>
        <v>3</v>
      </c>
      <c r="H28" s="160">
        <f ca="1">i_country!H19</f>
        <v>1.3333333333333335</v>
      </c>
      <c r="I28" s="160">
        <f ca="1">i_country!I19</f>
        <v>1</v>
      </c>
    </row>
    <row r="29" spans="1:9">
      <c r="A29" s="26"/>
      <c r="B29" s="26"/>
      <c r="C29" s="27"/>
      <c r="E29" s="159" t="str">
        <f ca="1">i_country!E20</f>
        <v>Accounting standards</v>
      </c>
      <c r="F29" s="160">
        <f ca="1">i_country!F20</f>
        <v>1</v>
      </c>
      <c r="G29" s="160">
        <f ca="1">i_country!G20</f>
        <v>3</v>
      </c>
      <c r="H29" s="160">
        <f ca="1">i_country!H20</f>
        <v>3</v>
      </c>
      <c r="I29" s="160">
        <f ca="1">i_country!I20</f>
        <v>2</v>
      </c>
    </row>
    <row r="30" spans="1:9">
      <c r="A30" s="26"/>
      <c r="B30" s="26"/>
      <c r="C30" s="27"/>
      <c r="E30" s="159" t="str">
        <f ca="1">i_country!E21</f>
        <v>Governance standards</v>
      </c>
      <c r="F30" s="160">
        <f ca="1">i_country!F21</f>
        <v>1</v>
      </c>
      <c r="G30" s="160">
        <f ca="1">i_country!G21</f>
        <v>3</v>
      </c>
      <c r="H30" s="160">
        <f ca="1">i_country!H21</f>
        <v>3</v>
      </c>
      <c r="I30" s="160">
        <f ca="1">i_country!I21</f>
        <v>1</v>
      </c>
    </row>
    <row r="31" spans="1:9">
      <c r="A31" s="26"/>
      <c r="B31" s="26"/>
      <c r="C31" s="27"/>
      <c r="E31" s="159" t="str">
        <f ca="1">i_country!E22</f>
        <v>MFI transparency</v>
      </c>
      <c r="F31" s="160">
        <f ca="1">i_country!F22</f>
        <v>2</v>
      </c>
      <c r="G31" s="160">
        <f ca="1">i_country!G22</f>
        <v>2</v>
      </c>
      <c r="H31" s="160">
        <f ca="1">i_country!H22</f>
        <v>3</v>
      </c>
      <c r="I31" s="160">
        <f ca="1">i_country!I22</f>
        <v>2</v>
      </c>
    </row>
    <row r="32" spans="1:9" ht="18.75" customHeight="1">
      <c r="A32" s="26"/>
      <c r="B32" s="26"/>
      <c r="C32" s="27"/>
      <c r="E32" s="162" t="s">
        <v>1130</v>
      </c>
      <c r="F32" s="162">
        <f ca="1">i_country!E9</f>
        <v>16.7</v>
      </c>
      <c r="G32" s="162">
        <f ca="1">i_country!F9</f>
        <v>33.299999999999997</v>
      </c>
      <c r="H32" s="162">
        <f ca="1">i_country!G9</f>
        <v>33.299999999999997</v>
      </c>
      <c r="I32" s="162">
        <f ca="1">i_country!H9</f>
        <v>41.7</v>
      </c>
    </row>
    <row r="33" spans="1:9">
      <c r="A33" s="26"/>
      <c r="B33" s="26"/>
      <c r="C33" s="27"/>
      <c r="E33" s="159" t="str">
        <f ca="1">i_country!E23</f>
        <v>Range of MFI Services</v>
      </c>
      <c r="F33" s="160">
        <f ca="1">i_country!F23</f>
        <v>2</v>
      </c>
      <c r="G33" s="160">
        <f ca="1">i_country!G23</f>
        <v>2</v>
      </c>
      <c r="H33" s="160">
        <f ca="1">i_country!H23</f>
        <v>0</v>
      </c>
      <c r="I33" s="160">
        <f ca="1">i_country!I23</f>
        <v>3</v>
      </c>
    </row>
    <row r="34" spans="1:9">
      <c r="A34" s="26"/>
      <c r="B34" s="26"/>
      <c r="C34" s="27"/>
      <c r="E34" s="159" t="str">
        <f ca="1">i_country!E24</f>
        <v>Credit bureaus</v>
      </c>
      <c r="F34" s="160">
        <f ca="1">i_country!F24</f>
        <v>0</v>
      </c>
      <c r="G34" s="160">
        <f ca="1">i_country!G24</f>
        <v>2</v>
      </c>
      <c r="H34" s="160">
        <f ca="1">i_country!H24</f>
        <v>4</v>
      </c>
      <c r="I34" s="160">
        <f ca="1">i_country!I24</f>
        <v>0</v>
      </c>
    </row>
    <row r="35" spans="1:9">
      <c r="A35" s="26"/>
      <c r="B35" s="26"/>
      <c r="C35" s="27"/>
      <c r="E35" s="159" t="str">
        <f ca="1">i_country!E25</f>
        <v>Level of competition</v>
      </c>
      <c r="F35" s="160">
        <f ca="1">i_country!F25</f>
        <v>0</v>
      </c>
      <c r="G35" s="160">
        <f ca="1">i_country!G25</f>
        <v>0</v>
      </c>
      <c r="H35" s="160">
        <f ca="1">i_country!H25</f>
        <v>0</v>
      </c>
      <c r="I35" s="160">
        <f ca="1">i_country!I25</f>
        <v>2</v>
      </c>
    </row>
    <row r="36" spans="1:9">
      <c r="A36" s="26"/>
      <c r="B36" s="26"/>
      <c r="C36" s="27"/>
      <c r="E36" s="159"/>
      <c r="F36" s="160"/>
      <c r="G36" s="160"/>
      <c r="H36" s="160"/>
      <c r="I36" s="160"/>
    </row>
    <row r="37" spans="1:9">
      <c r="A37" s="26"/>
      <c r="B37" s="26"/>
      <c r="C37" s="27"/>
      <c r="E37" s="159" t="str">
        <f ca="1">i_country!E26</f>
        <v>MFI clients as % of population</v>
      </c>
      <c r="F37" s="191">
        <f ca="1">i_country!F26</f>
        <v>9.939743589743591E-2</v>
      </c>
      <c r="G37" s="191">
        <f ca="1">i_country!G26</f>
        <v>1.2774980612062279</v>
      </c>
      <c r="H37" s="191">
        <f ca="1">i_country!H26</f>
        <v>8.0098697068403926</v>
      </c>
      <c r="I37" s="191">
        <f ca="1">i_country!I26</f>
        <v>15.006832963549922</v>
      </c>
    </row>
    <row r="38" spans="1:9">
      <c r="A38" s="28"/>
      <c r="B38" s="28"/>
      <c r="C38" s="29"/>
      <c r="E38" s="159" t="str">
        <f ca="1">i_country!E27</f>
        <v>MFI clients as % of microenterprises</v>
      </c>
      <c r="F38" s="191" t="str">
        <f ca="1">i_country!F27</f>
        <v>n/a</v>
      </c>
      <c r="G38" s="191">
        <f ca="1">i_country!G27</f>
        <v>13.88282130419311</v>
      </c>
      <c r="H38" s="191" t="str">
        <f ca="1">i_country!H27</f>
        <v>n/a</v>
      </c>
      <c r="I38" s="191" t="str">
        <f ca="1">i_country!I27</f>
        <v>n/a</v>
      </c>
    </row>
  </sheetData>
  <sheetProtection password="B7E9" sheet="1" objects="1" scenarios="1" selectLockedCells="1" selectUnlockedCells="1"/>
  <phoneticPr fontId="0" type="noConversion"/>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sheetPr codeName="Sheet18"/>
  <dimension ref="A1:I61"/>
  <sheetViews>
    <sheetView showGridLines="0" showRowColHeaders="0" workbookViewId="0">
      <selection activeCell="D9" sqref="D9"/>
    </sheetView>
  </sheetViews>
  <sheetFormatPr defaultRowHeight="12.75"/>
  <cols>
    <col min="1" max="1" width="1.42578125" customWidth="1"/>
    <col min="2" max="2" width="30.7109375" customWidth="1"/>
    <col min="3" max="3" width="1.140625" customWidth="1"/>
  </cols>
  <sheetData>
    <row r="1" spans="1:7" ht="21">
      <c r="A1" s="123" t="s">
        <v>1141</v>
      </c>
      <c r="B1" s="123"/>
      <c r="C1" s="123"/>
      <c r="E1" s="103" t="str">
        <f ca="1">i_scatter!B7</f>
        <v>MFI clients as % of microenterprises VS Overall score</v>
      </c>
    </row>
    <row r="2" spans="1:7">
      <c r="A2" s="26"/>
      <c r="B2" s="33" t="s">
        <v>1031</v>
      </c>
      <c r="C2" s="27"/>
      <c r="E2" s="106" t="s">
        <v>1144</v>
      </c>
      <c r="F2" s="104"/>
      <c r="G2" s="105">
        <f ca="1">i_scatter!C22</f>
        <v>0.74116964843393573</v>
      </c>
    </row>
    <row r="3" spans="1:7">
      <c r="A3" s="26"/>
      <c r="B3" s="33"/>
      <c r="C3" s="27"/>
    </row>
    <row r="4" spans="1:7">
      <c r="A4" s="26"/>
      <c r="B4" s="33" t="s">
        <v>1032</v>
      </c>
      <c r="C4" s="27"/>
    </row>
    <row r="5" spans="1:7">
      <c r="A5" s="26"/>
      <c r="B5" s="34"/>
      <c r="C5" s="27"/>
    </row>
    <row r="6" spans="1:7">
      <c r="A6" s="26"/>
      <c r="B6" s="33" t="s">
        <v>1033</v>
      </c>
      <c r="C6" s="27"/>
    </row>
    <row r="7" spans="1:7">
      <c r="A7" s="26"/>
      <c r="B7" s="26"/>
      <c r="C7" s="27"/>
    </row>
    <row r="8" spans="1:7">
      <c r="A8" s="26"/>
      <c r="B8" s="33"/>
      <c r="C8" s="27"/>
    </row>
    <row r="9" spans="1:7">
      <c r="A9" s="26"/>
      <c r="B9" s="26"/>
      <c r="C9" s="27"/>
    </row>
    <row r="10" spans="1:7">
      <c r="A10" s="26"/>
      <c r="B10" s="26"/>
      <c r="C10" s="27"/>
    </row>
    <row r="11" spans="1:7">
      <c r="A11" s="26"/>
      <c r="B11" s="26"/>
      <c r="C11" s="27"/>
    </row>
    <row r="12" spans="1:7">
      <c r="A12" s="26"/>
      <c r="B12" s="34" t="s">
        <v>1142</v>
      </c>
      <c r="C12" s="27"/>
    </row>
    <row r="13" spans="1:7">
      <c r="A13" s="26"/>
      <c r="B13" s="26"/>
      <c r="C13" s="27"/>
    </row>
    <row r="14" spans="1:7">
      <c r="A14" s="26"/>
      <c r="B14" s="26"/>
      <c r="C14" s="27"/>
    </row>
    <row r="15" spans="1:7">
      <c r="A15" s="26"/>
      <c r="B15" s="26"/>
      <c r="C15" s="27"/>
    </row>
    <row r="16" spans="1:7">
      <c r="A16" s="26"/>
      <c r="B16" s="26"/>
      <c r="C16" s="27"/>
    </row>
    <row r="17" spans="1:9">
      <c r="A17" s="26"/>
      <c r="B17" s="26"/>
      <c r="C17" s="27"/>
    </row>
    <row r="18" spans="1:9">
      <c r="A18" s="26"/>
      <c r="B18" s="26"/>
      <c r="C18" s="27"/>
    </row>
    <row r="19" spans="1:9">
      <c r="A19" s="26"/>
      <c r="B19" s="26"/>
      <c r="C19" s="27"/>
    </row>
    <row r="20" spans="1:9">
      <c r="A20" s="26"/>
      <c r="B20" s="34" t="s">
        <v>1143</v>
      </c>
      <c r="C20" s="27"/>
    </row>
    <row r="21" spans="1:9">
      <c r="A21" s="26"/>
      <c r="B21" s="26"/>
      <c r="C21" s="27"/>
    </row>
    <row r="22" spans="1:9">
      <c r="A22" s="26"/>
      <c r="B22" s="26"/>
      <c r="C22" s="27"/>
    </row>
    <row r="23" spans="1:9">
      <c r="A23" s="26"/>
      <c r="B23" s="26"/>
      <c r="C23" s="27"/>
    </row>
    <row r="24" spans="1:9">
      <c r="A24" s="26"/>
      <c r="B24" s="26"/>
      <c r="C24" s="27"/>
    </row>
    <row r="25" spans="1:9">
      <c r="A25" s="26"/>
      <c r="B25" s="26"/>
      <c r="C25" s="27"/>
    </row>
    <row r="26" spans="1:9">
      <c r="A26" s="26"/>
      <c r="B26" s="26"/>
      <c r="C26" s="27"/>
    </row>
    <row r="27" spans="1:9">
      <c r="A27" s="26"/>
      <c r="B27" s="26"/>
      <c r="C27" s="27"/>
    </row>
    <row r="28" spans="1:9" ht="15">
      <c r="A28" s="26"/>
      <c r="B28" s="26"/>
      <c r="C28" s="27"/>
      <c r="I28" s="102"/>
    </row>
    <row r="29" spans="1:9">
      <c r="A29" s="26"/>
      <c r="B29" s="26"/>
      <c r="C29" s="27"/>
    </row>
    <row r="30" spans="1:9">
      <c r="A30" s="26"/>
      <c r="B30" s="26"/>
      <c r="C30" s="27"/>
    </row>
    <row r="31" spans="1:9">
      <c r="A31" s="26"/>
      <c r="B31" s="26"/>
      <c r="C31" s="27"/>
    </row>
    <row r="32" spans="1:9">
      <c r="A32" s="26"/>
      <c r="B32" s="26"/>
      <c r="C32" s="27"/>
    </row>
    <row r="33" spans="1:3">
      <c r="A33" s="26"/>
      <c r="B33" s="26"/>
      <c r="C33" s="27"/>
    </row>
    <row r="34" spans="1:3">
      <c r="A34" s="26"/>
      <c r="B34" s="26"/>
      <c r="C34" s="27"/>
    </row>
    <row r="35" spans="1:3">
      <c r="A35" s="26"/>
      <c r="B35" s="26"/>
      <c r="C35" s="27"/>
    </row>
    <row r="36" spans="1:3">
      <c r="A36" s="26"/>
      <c r="B36" s="26"/>
      <c r="C36" s="27"/>
    </row>
    <row r="37" spans="1:3">
      <c r="A37" s="28"/>
      <c r="B37" s="28"/>
      <c r="C37" s="29"/>
    </row>
    <row r="61" spans="1:3">
      <c r="A61" s="30"/>
      <c r="B61" s="30"/>
      <c r="C61" s="30"/>
    </row>
  </sheetData>
  <sheetProtection password="B7E9" sheet="1" objects="1" scenarios="1" selectLockedCells="1" selectUnlockedCells="1"/>
  <phoneticPr fontId="10" type="noConversion"/>
  <pageMargins left="0.7" right="0.7" top="0.75" bottom="0.75" header="0.3" footer="0.3"/>
  <pageSetup paperSize="0" orientation="portrait" horizontalDpi="0" verticalDpi="0" copies="0" r:id="rId1"/>
  <drawing r:id="rId2"/>
  <legacyDrawing r:id="rId3"/>
</worksheet>
</file>

<file path=xl/worksheets/sheet28.xml><?xml version="1.0" encoding="utf-8"?>
<worksheet xmlns="http://schemas.openxmlformats.org/spreadsheetml/2006/main" xmlns:r="http://schemas.openxmlformats.org/officeDocument/2006/relationships">
  <sheetPr codeName="Sheet10"/>
  <dimension ref="A1:H24"/>
  <sheetViews>
    <sheetView showGridLines="0" showRowColHeaders="0" workbookViewId="0">
      <selection activeCell="G13" sqref="G13"/>
    </sheetView>
  </sheetViews>
  <sheetFormatPr defaultRowHeight="12.75"/>
  <cols>
    <col min="1" max="1" width="26.42578125" customWidth="1"/>
    <col min="2" max="2" width="2.28515625" customWidth="1"/>
    <col min="3" max="3" width="5.42578125" hidden="1" customWidth="1"/>
    <col min="4" max="4" width="3" hidden="1" customWidth="1"/>
    <col min="5" max="5" width="55.140625" bestFit="1" customWidth="1"/>
    <col min="6" max="6" width="1" customWidth="1"/>
    <col min="9" max="9" width="2.42578125" customWidth="1"/>
  </cols>
  <sheetData>
    <row r="1" spans="1:8" ht="21">
      <c r="A1" s="166" t="s">
        <v>1145</v>
      </c>
    </row>
    <row r="2" spans="1:8" ht="23.25" customHeight="1">
      <c r="A2" s="107" t="s">
        <v>1146</v>
      </c>
    </row>
    <row r="3" spans="1:8" ht="25.5" customHeight="1">
      <c r="A3" s="27"/>
      <c r="C3" s="35"/>
      <c r="D3" s="35"/>
      <c r="E3" s="167" t="s">
        <v>1051</v>
      </c>
      <c r="F3" s="167"/>
      <c r="G3" s="168" t="s">
        <v>1052</v>
      </c>
      <c r="H3" s="168" t="s">
        <v>1053</v>
      </c>
    </row>
    <row r="4" spans="1:8">
      <c r="A4" s="27"/>
      <c r="C4" s="36" t="str">
        <f ca="1">tblIndByType!A3</f>
        <v>RF00</v>
      </c>
      <c r="D4" s="36">
        <f ca="1">MATCH(C4,scores_2009!C$10:C$28,0)</f>
        <v>2</v>
      </c>
      <c r="E4" s="46" t="str">
        <f ca="1">tblIndByType!C3</f>
        <v xml:space="preserve">Regulatory Framework </v>
      </c>
      <c r="F4" s="36"/>
      <c r="G4" s="51">
        <v>4</v>
      </c>
      <c r="H4" s="43">
        <f ca="1">INDEX(scores_2009!G$10:G$28,D4)</f>
        <v>0.4</v>
      </c>
    </row>
    <row r="5" spans="1:8">
      <c r="A5" s="27"/>
      <c r="C5" s="36" t="str">
        <f ca="1">tblIndByType!A4</f>
        <v>IC00</v>
      </c>
      <c r="D5" s="36">
        <f ca="1">MATCH(C5,scores_2009!C$10:C$28,0)</f>
        <v>7</v>
      </c>
      <c r="E5" s="46" t="str">
        <f ca="1">tblIndByType!C4</f>
        <v>Investment Climate</v>
      </c>
      <c r="F5" s="36"/>
      <c r="G5" s="51">
        <v>2</v>
      </c>
      <c r="H5" s="43">
        <f ca="1">INDEX(scores_2009!G$10:G$28,D5)</f>
        <v>0.2</v>
      </c>
    </row>
    <row r="6" spans="1:8">
      <c r="A6" s="27"/>
      <c r="C6" s="36" t="str">
        <f ca="1">tblIndByType!A5</f>
        <v>ID00</v>
      </c>
      <c r="D6" s="36">
        <f ca="1">MATCH(C6,scores_2009!C$10:C$28,0)</f>
        <v>14</v>
      </c>
      <c r="E6" s="46" t="str">
        <f ca="1">tblIndByType!C5</f>
        <v>Institutional Development</v>
      </c>
      <c r="F6" s="36"/>
      <c r="G6" s="51">
        <v>4</v>
      </c>
      <c r="H6" s="43">
        <f ca="1">INDEX(scores_2009!G$10:G$28,D6)</f>
        <v>0.4</v>
      </c>
    </row>
    <row r="7" spans="1:8">
      <c r="A7" s="27"/>
      <c r="C7" s="36"/>
      <c r="D7" s="36"/>
      <c r="E7" s="38"/>
      <c r="F7" s="38"/>
      <c r="G7" s="38"/>
      <c r="H7" s="47"/>
    </row>
    <row r="8" spans="1:8">
      <c r="A8" s="27"/>
      <c r="C8" s="37"/>
      <c r="D8" s="37"/>
      <c r="E8" s="49"/>
      <c r="F8" s="49"/>
      <c r="G8" s="49"/>
      <c r="H8" s="50"/>
    </row>
    <row r="9" spans="1:8" ht="15">
      <c r="A9" s="27"/>
      <c r="C9" s="40" t="str">
        <f ca="1">tblIndicators!C3</f>
        <v>RF00</v>
      </c>
      <c r="D9" s="41">
        <f ca="1">MATCH(C9,scores_2009!C$10:C$28,0)</f>
        <v>2</v>
      </c>
      <c r="E9" s="45" t="str">
        <f ca="1">tblIndicators!F3</f>
        <v xml:space="preserve">Regulatory Framework </v>
      </c>
      <c r="F9" s="36"/>
      <c r="G9" s="42"/>
      <c r="H9" s="48"/>
    </row>
    <row r="10" spans="1:8" ht="15">
      <c r="A10" s="27"/>
      <c r="C10" s="40" t="str">
        <f ca="1">tblIndicators!C4</f>
        <v>RF01</v>
      </c>
      <c r="D10" s="41">
        <f ca="1">MATCH(C10,scores_2009!C$10:C$28,0)</f>
        <v>3</v>
      </c>
      <c r="E10" s="52" t="str">
        <f ca="1">tblIndicators!F4</f>
        <v>Regulation of microcredit operations</v>
      </c>
      <c r="F10" s="36"/>
      <c r="G10" s="51">
        <v>1</v>
      </c>
      <c r="H10" s="43">
        <f ca="1">INDEX(scores_2009!G$10:G$28,D10)</f>
        <v>0.25</v>
      </c>
    </row>
    <row r="11" spans="1:8" ht="15">
      <c r="A11" s="27"/>
      <c r="C11" s="40" t="str">
        <f ca="1">tblIndicators!C5</f>
        <v>RF02</v>
      </c>
      <c r="D11" s="41">
        <f ca="1">MATCH(C11,scores_2009!C$10:C$28,0)</f>
        <v>4</v>
      </c>
      <c r="E11" s="52" t="str">
        <f ca="1">tblIndicators!F5</f>
        <v>Formation and operation of regulated, specialised MFIs</v>
      </c>
      <c r="F11" s="36"/>
      <c r="G11" s="51">
        <v>1</v>
      </c>
      <c r="H11" s="43">
        <f ca="1">INDEX(scores_2009!G$10:G$28,D11)</f>
        <v>0.25</v>
      </c>
    </row>
    <row r="12" spans="1:8" ht="15">
      <c r="A12" s="27"/>
      <c r="C12" s="40" t="str">
        <f ca="1">tblIndicators!C6</f>
        <v>RF03</v>
      </c>
      <c r="D12" s="41">
        <f ca="1">MATCH(C12,scores_2009!C$10:C$28,0)</f>
        <v>5</v>
      </c>
      <c r="E12" s="52" t="str">
        <f ca="1">tblIndicators!F6</f>
        <v>Formation and operation of non-regulated MFIs</v>
      </c>
      <c r="F12" s="36"/>
      <c r="G12" s="51">
        <v>1</v>
      </c>
      <c r="H12" s="43">
        <f ca="1">INDEX(scores_2009!G$10:G$28,D12)</f>
        <v>0.25</v>
      </c>
    </row>
    <row r="13" spans="1:8" ht="15">
      <c r="A13" s="27"/>
      <c r="C13" s="40" t="str">
        <f ca="1">tblIndicators!C7</f>
        <v>RF04</v>
      </c>
      <c r="D13" s="41">
        <f ca="1">MATCH(C13,scores_2009!C$10:C$28,0)</f>
        <v>6</v>
      </c>
      <c r="E13" s="52" t="str">
        <f ca="1">tblIndicators!F7</f>
        <v>Regulatory and examination capacity</v>
      </c>
      <c r="F13" s="36"/>
      <c r="G13" s="51">
        <v>1</v>
      </c>
      <c r="H13" s="43">
        <f ca="1">INDEX(scores_2009!G$10:G$28,D13)</f>
        <v>0.25</v>
      </c>
    </row>
    <row r="14" spans="1:8" ht="15">
      <c r="A14" s="27"/>
      <c r="C14" s="40" t="str">
        <f ca="1">tblIndicators!C8</f>
        <v>IC00</v>
      </c>
      <c r="D14" s="41">
        <f ca="1">MATCH(C14,scores_2009!C$10:C$28,0)</f>
        <v>7</v>
      </c>
      <c r="E14" s="45" t="str">
        <f ca="1">tblIndicators!F8</f>
        <v>Investment Climate</v>
      </c>
      <c r="F14" s="36"/>
      <c r="G14" s="44"/>
      <c r="H14" s="43"/>
    </row>
    <row r="15" spans="1:8" ht="15">
      <c r="A15" s="27"/>
      <c r="C15" s="40" t="str">
        <f ca="1">tblIndicators!C9</f>
        <v>IC01</v>
      </c>
      <c r="D15" s="41">
        <f ca="1">MATCH(C15,scores_2009!C$10:C$28,0)</f>
        <v>8</v>
      </c>
      <c r="E15" s="52" t="str">
        <f ca="1">tblIndicators!F9</f>
        <v>Political stability</v>
      </c>
      <c r="F15" s="36"/>
      <c r="G15" s="51">
        <v>1</v>
      </c>
      <c r="H15" s="43">
        <f ca="1">INDEX(scores_2009!G$10:G$28,D15)</f>
        <v>0.16666666666666666</v>
      </c>
    </row>
    <row r="16" spans="1:8" ht="15">
      <c r="A16" s="27"/>
      <c r="C16" s="40" t="str">
        <f ca="1">tblIndicators!C10</f>
        <v>IC02</v>
      </c>
      <c r="D16" s="41">
        <f ca="1">MATCH(C16,scores_2009!C$10:C$28,0)</f>
        <v>9</v>
      </c>
      <c r="E16" s="52" t="str">
        <f ca="1">tblIndicators!F10</f>
        <v>Capital market development</v>
      </c>
      <c r="F16" s="36"/>
      <c r="G16" s="51">
        <v>1</v>
      </c>
      <c r="H16" s="43">
        <f ca="1">INDEX(scores_2009!G$10:G$28,D16)</f>
        <v>0.16666666666666666</v>
      </c>
    </row>
    <row r="17" spans="1:8" ht="15">
      <c r="A17" s="27"/>
      <c r="C17" s="40" t="str">
        <f ca="1">tblIndicators!C11</f>
        <v>IC03</v>
      </c>
      <c r="D17" s="41">
        <f ca="1">MATCH(C17,scores_2009!C$10:C$28,0)</f>
        <v>10</v>
      </c>
      <c r="E17" s="52" t="str">
        <f ca="1">tblIndicators!F11</f>
        <v>Judicial system</v>
      </c>
      <c r="F17" s="36"/>
      <c r="G17" s="51">
        <v>1</v>
      </c>
      <c r="H17" s="43">
        <f ca="1">INDEX(scores_2009!G$10:G$28,D17)</f>
        <v>0.16666666666666666</v>
      </c>
    </row>
    <row r="18" spans="1:8" ht="15">
      <c r="A18" s="27"/>
      <c r="C18" s="40" t="str">
        <f ca="1">tblIndicators!C12</f>
        <v>IC04</v>
      </c>
      <c r="D18" s="41">
        <f ca="1">MATCH(C18,scores_2009!C$10:C$28,0)</f>
        <v>11</v>
      </c>
      <c r="E18" s="52" t="str">
        <f ca="1">tblIndicators!F12</f>
        <v>Accounting standards</v>
      </c>
      <c r="F18" s="36"/>
      <c r="G18" s="51">
        <v>1</v>
      </c>
      <c r="H18" s="43">
        <f ca="1">INDEX(scores_2009!G$10:G$28,D18)</f>
        <v>0.16666666666666666</v>
      </c>
    </row>
    <row r="19" spans="1:8" ht="15">
      <c r="A19" s="27"/>
      <c r="C19" s="40" t="str">
        <f ca="1">tblIndicators!C13</f>
        <v>IC05</v>
      </c>
      <c r="D19" s="41">
        <f ca="1">MATCH(C19,scores_2009!C$10:C$28,0)</f>
        <v>12</v>
      </c>
      <c r="E19" s="52" t="str">
        <f ca="1">tblIndicators!F13</f>
        <v>Governance standards</v>
      </c>
      <c r="F19" s="36"/>
      <c r="G19" s="51">
        <v>1</v>
      </c>
      <c r="H19" s="43">
        <f ca="1">INDEX(scores_2009!G$10:G$28,D19)</f>
        <v>0.16666666666666666</v>
      </c>
    </row>
    <row r="20" spans="1:8" ht="15">
      <c r="A20" s="27"/>
      <c r="C20" s="40" t="str">
        <f ca="1">tblIndicators!C14</f>
        <v>IC06</v>
      </c>
      <c r="D20" s="41">
        <f ca="1">MATCH(C20,scores_2009!C$10:C$28,0)</f>
        <v>13</v>
      </c>
      <c r="E20" s="52" t="str">
        <f ca="1">tblIndicators!F14</f>
        <v>MFI transparency</v>
      </c>
      <c r="F20" s="36"/>
      <c r="G20" s="51">
        <v>1</v>
      </c>
      <c r="H20" s="43">
        <f ca="1">INDEX(scores_2009!G$10:G$28,D20)</f>
        <v>0.16666666666666666</v>
      </c>
    </row>
    <row r="21" spans="1:8" ht="15">
      <c r="A21" s="27"/>
      <c r="C21" s="40" t="str">
        <f ca="1">tblIndicators!C15</f>
        <v>ID00</v>
      </c>
      <c r="D21" s="41">
        <f ca="1">MATCH(C21,scores_2009!C$10:C$28,0)</f>
        <v>14</v>
      </c>
      <c r="E21" s="45" t="str">
        <f ca="1">tblIndicators!F15</f>
        <v>Institutional Development</v>
      </c>
      <c r="F21" s="36"/>
      <c r="G21" s="44"/>
      <c r="H21" s="43"/>
    </row>
    <row r="22" spans="1:8" ht="15">
      <c r="A22" s="27"/>
      <c r="C22" s="40" t="str">
        <f ca="1">tblIndicators!C16</f>
        <v>ID01</v>
      </c>
      <c r="D22" s="41">
        <f ca="1">MATCH(C22,scores_2009!C$10:C$28,0)</f>
        <v>15</v>
      </c>
      <c r="E22" s="52" t="str">
        <f ca="1">tblIndicators!F16</f>
        <v>Range of MFI Services</v>
      </c>
      <c r="F22" s="36"/>
      <c r="G22" s="51">
        <v>1</v>
      </c>
      <c r="H22" s="43">
        <f ca="1">INDEX(scores_2009!G$10:G$28,D22)</f>
        <v>0.33333333333333331</v>
      </c>
    </row>
    <row r="23" spans="1:8" ht="15">
      <c r="A23" s="27"/>
      <c r="C23" s="40" t="str">
        <f ca="1">tblIndicators!C17</f>
        <v>ID02</v>
      </c>
      <c r="D23" s="41">
        <f ca="1">MATCH(C23,scores_2009!C$10:C$28,0)</f>
        <v>16</v>
      </c>
      <c r="E23" s="52" t="str">
        <f ca="1">tblIndicators!F17</f>
        <v>Credit bureaus</v>
      </c>
      <c r="F23" s="36"/>
      <c r="G23" s="51">
        <v>1</v>
      </c>
      <c r="H23" s="43">
        <f ca="1">INDEX(scores_2009!G$10:G$28,D23)</f>
        <v>0.33333333333333331</v>
      </c>
    </row>
    <row r="24" spans="1:8" ht="15">
      <c r="A24" s="29"/>
      <c r="C24" s="40" t="str">
        <f ca="1">tblIndicators!C18</f>
        <v>ID03</v>
      </c>
      <c r="D24" s="41">
        <f ca="1">MATCH(C24,scores_2009!C$10:C$28,0)</f>
        <v>17</v>
      </c>
      <c r="E24" s="52" t="str">
        <f ca="1">tblIndicators!F18</f>
        <v>Level of competition</v>
      </c>
      <c r="F24" s="36"/>
      <c r="G24" s="51">
        <v>1</v>
      </c>
      <c r="H24" s="43">
        <f ca="1">INDEX(scores_2009!G$10:G$28,D24)</f>
        <v>0.33333333333333331</v>
      </c>
    </row>
  </sheetData>
  <sheetProtection selectLockedCells="1" selectUnlockedCells="1"/>
  <phoneticPr fontId="10" type="noConversion"/>
  <pageMargins left="0.7" right="0.7" top="0.75" bottom="0.75" header="0.3" footer="0.3"/>
  <pageSetup paperSize="0" orientation="portrait" horizontalDpi="0" verticalDpi="0" copies="0" r:id="rId1"/>
  <drawing r:id="rId2"/>
  <legacyDrawing r:id="rId3"/>
</worksheet>
</file>

<file path=xl/worksheets/sheet3.xml><?xml version="1.0" encoding="utf-8"?>
<worksheet xmlns="http://schemas.openxmlformats.org/spreadsheetml/2006/main" xmlns:r="http://schemas.openxmlformats.org/officeDocument/2006/relationships">
  <sheetPr codeName="Sheet1"/>
  <dimension ref="A2:S59"/>
  <sheetViews>
    <sheetView topLeftCell="A34" workbookViewId="0">
      <selection activeCell="B54" sqref="B54"/>
    </sheetView>
  </sheetViews>
  <sheetFormatPr defaultRowHeight="12.75"/>
  <cols>
    <col min="1" max="1" width="20.140625" bestFit="1" customWidth="1"/>
    <col min="11" max="12" width="25.7109375" customWidth="1"/>
  </cols>
  <sheetData>
    <row r="2" spans="1:5">
      <c r="A2" s="4" t="s">
        <v>849</v>
      </c>
      <c r="B2">
        <v>1</v>
      </c>
    </row>
    <row r="3" spans="1:5">
      <c r="A3" s="4"/>
    </row>
    <row r="4" spans="1:5">
      <c r="A4" s="4" t="s">
        <v>876</v>
      </c>
      <c r="B4">
        <v>1</v>
      </c>
    </row>
    <row r="5" spans="1:5">
      <c r="A5" s="4"/>
    </row>
    <row r="6" spans="1:5">
      <c r="A6" s="4" t="s">
        <v>1029</v>
      </c>
      <c r="B6" s="30">
        <v>1</v>
      </c>
    </row>
    <row r="7" spans="1:5">
      <c r="A7" s="4" t="s">
        <v>847</v>
      </c>
      <c r="B7" s="31">
        <f>B6+1</f>
        <v>2</v>
      </c>
      <c r="C7" s="9" t="str">
        <f ca="1">INDEX(lu_regions,B7)</f>
        <v>ALL COUNTRIES</v>
      </c>
    </row>
    <row r="8" spans="1:5">
      <c r="A8" s="4" t="s">
        <v>1089</v>
      </c>
      <c r="B8" s="30">
        <v>1</v>
      </c>
    </row>
    <row r="9" spans="1:5">
      <c r="A9" s="4" t="s">
        <v>848</v>
      </c>
      <c r="B9" s="31">
        <f>B8+1</f>
        <v>2</v>
      </c>
      <c r="C9" s="9" t="str">
        <f ca="1">INDEX(lu_regions,B9)</f>
        <v>ALL COUNTRIES</v>
      </c>
    </row>
    <row r="10" spans="1:5">
      <c r="A10" s="4" t="s">
        <v>879</v>
      </c>
      <c r="B10" s="30">
        <v>1</v>
      </c>
      <c r="C10" s="9" t="s">
        <v>877</v>
      </c>
    </row>
    <row r="11" spans="1:5">
      <c r="A11" s="4" t="s">
        <v>878</v>
      </c>
      <c r="B11" s="119">
        <f>B10-1</f>
        <v>0</v>
      </c>
      <c r="C11" t="str">
        <f ca="1">INDEX(tblCountries!B2:B57,B11+1)</f>
        <v>&lt;none&gt;</v>
      </c>
    </row>
    <row r="12" spans="1:5">
      <c r="A12" s="4" t="s">
        <v>1124</v>
      </c>
      <c r="B12">
        <v>15</v>
      </c>
      <c r="C12" t="str">
        <f ca="1">INDEX(tblCountries!B3:B57,B12)</f>
        <v>DRC</v>
      </c>
      <c r="E12" s="4" t="s">
        <v>1125</v>
      </c>
    </row>
    <row r="13" spans="1:5">
      <c r="A13" s="4"/>
      <c r="E13" s="4"/>
    </row>
    <row r="14" spans="1:5">
      <c r="A14" s="4"/>
    </row>
    <row r="16" spans="1:5">
      <c r="A16" s="4" t="s">
        <v>944</v>
      </c>
      <c r="B16">
        <v>1</v>
      </c>
    </row>
    <row r="17" spans="1:19">
      <c r="A17" s="4" t="s">
        <v>945</v>
      </c>
      <c r="B17">
        <f ca="1">INDEX(tblIndByType!B9:B23,B16)</f>
        <v>3</v>
      </c>
      <c r="D17">
        <f ca="1">INDEX(tblIndicators!A$2:A$20,$B17)</f>
        <v>3</v>
      </c>
      <c r="E17">
        <f ca="1">INDEX(tblIndicators!B$2:B$20,$B17)</f>
        <v>2</v>
      </c>
      <c r="F17" t="str">
        <f ca="1">INDEX(tblIndicators!C$2:C$20,$B17)</f>
        <v>RF01</v>
      </c>
      <c r="G17" t="str">
        <f ca="1">INDEX(tblIndicators!D$2:D$20,$B17)</f>
        <v>RF00</v>
      </c>
      <c r="H17">
        <f ca="1">INDEX(tblIndicators!E$2:E$20,$B17)</f>
        <v>25</v>
      </c>
      <c r="I17" t="str">
        <f ca="1">INDEX(tblIndicators!F$2:F$20,$B17)</f>
        <v>Regulation of microcredit operations</v>
      </c>
      <c r="J17" t="str">
        <f ca="1">INDEX(tblIndicators!G$2:G$20,$B17)</f>
        <v>Qualitative assessment 0-4</v>
      </c>
      <c r="K17" t="str">
        <f ca="1">INDEX(tblIndicators!H$2:H$20,$B17)</f>
        <v>Are regulations conducive to microcredit provision by banks and other established financial institutions?</v>
      </c>
      <c r="L17" t="str">
        <f ca="1">INDEX(tblIndicators!I$2:I$20,$B17)</f>
        <v>For instance, are banks free to set market interest rates, can they avoid excessive documentation and capital-adequacy ratios, and are they free from unfair competition from subsidised public programmes and institutions?</v>
      </c>
      <c r="M17" t="str">
        <f ca="1">INDEX(tblIndicators!J$2:J$20,$B17)</f>
        <v>Regulatory Framework  :: Regulation of microcredit operations</v>
      </c>
      <c r="N17" t="str">
        <f ca="1">INDEX(tblIndicators!K$2:K$20,$B17)</f>
        <v xml:space="preserve">          Regulation of microcredit operations</v>
      </c>
      <c r="O17" t="str">
        <f ca="1">INDEX(tblIndicators!L$2:L$20,$B17)</f>
        <v>No such regulations exist or regulations are prohibitive</v>
      </c>
      <c r="P17" t="str">
        <f ca="1">INDEX(tblIndicators!M$2:M$20,$B17)</f>
        <v>Regulations create serious obstacles</v>
      </c>
      <c r="Q17" t="str">
        <f ca="1">INDEX(tblIndicators!N$2:N$20,$B17)</f>
        <v>Regulations create at least two such obstacles for MFIs</v>
      </c>
      <c r="R17" t="str">
        <f ca="1">INDEX(tblIndicators!O$2:O$20,$B17)</f>
        <v>Regulations create minor obstacles</v>
      </c>
      <c r="S17" t="str">
        <f ca="1">INDEX(tblIndicators!P$2:P$20,$B17)</f>
        <v>Regulations present no significant obstacles</v>
      </c>
    </row>
    <row r="19" spans="1:19">
      <c r="A19" s="4" t="s">
        <v>1082</v>
      </c>
      <c r="B19">
        <v>1</v>
      </c>
    </row>
    <row r="20" spans="1:19">
      <c r="A20" s="4" t="s">
        <v>946</v>
      </c>
      <c r="B20" s="31">
        <f>B19</f>
        <v>1</v>
      </c>
      <c r="D20">
        <f ca="1">INDEX(tblIndicators!A$2:A$20,$B20)</f>
        <v>1</v>
      </c>
      <c r="E20">
        <f ca="1">INDEX(tblIndicators!B$2:B$20,$B20)</f>
        <v>0</v>
      </c>
      <c r="F20" t="str">
        <f ca="1">INDEX(tblIndicators!C$2:C$20,$B20)</f>
        <v>OVERALL</v>
      </c>
      <c r="G20">
        <f ca="1">INDEX(tblIndicators!D$2:D$20,$B20)</f>
        <v>0</v>
      </c>
      <c r="H20" t="str">
        <f ca="1">INDEX(tblIndicators!E$2:E$20,$B20)</f>
        <v/>
      </c>
      <c r="I20" t="str">
        <f ca="1">INDEX(tblIndicators!F$2:F$20,$B20)</f>
        <v>Overall score</v>
      </c>
      <c r="J20" t="str">
        <f ca="1">INDEX(tblIndicators!G$2:G$20,$B20)</f>
        <v>Normalised score 0-100, 100=best</v>
      </c>
      <c r="K20" t="str">
        <f ca="1">INDEX(tblIndicators!H$2:H$20,$B20)</f>
        <v>Overall score: Weighted sum of the following category scores:
●  Regulatory Framework 
●  Investment Climate
●  Institutional Development</v>
      </c>
      <c r="L20">
        <f ca="1">INDEX(tblIndicators!I$2:I$20,$B20)</f>
        <v>0</v>
      </c>
      <c r="M20" t="str">
        <f ca="1">INDEX(tblIndicators!J$2:J$20,$B20)</f>
        <v>Overall score</v>
      </c>
      <c r="N20" t="str">
        <f ca="1">INDEX(tblIndicators!K$2:K$20,$B20)</f>
        <v>Overall score</v>
      </c>
      <c r="O20">
        <f ca="1">INDEX(tblIndicators!L$2:L$20,$B20)</f>
        <v>0</v>
      </c>
      <c r="P20">
        <f ca="1">INDEX(tblIndicators!M$2:M$20,$B20)</f>
        <v>0</v>
      </c>
      <c r="Q20">
        <f ca="1">INDEX(tblIndicators!N$2:N$20,$B20)</f>
        <v>0</v>
      </c>
      <c r="R20">
        <f ca="1">INDEX(tblIndicators!O$2:O$20,$B20)</f>
        <v>0</v>
      </c>
      <c r="S20">
        <f ca="1">INDEX(tblIndicators!P$2:P$20,$B20)</f>
        <v>0</v>
      </c>
    </row>
    <row r="21" spans="1:19">
      <c r="A21" s="4" t="s">
        <v>1086</v>
      </c>
      <c r="B21">
        <f>IF(E20=2,4,100)</f>
        <v>100</v>
      </c>
    </row>
    <row r="24" spans="1:19">
      <c r="A24" s="4" t="s">
        <v>1094</v>
      </c>
      <c r="B24">
        <v>1</v>
      </c>
    </row>
    <row r="25" spans="1:19">
      <c r="A25" s="4" t="s">
        <v>1095</v>
      </c>
      <c r="B25" t="str">
        <f ca="1">INDEX(tblIndByType!A2:A5,B24)</f>
        <v>OVERALL</v>
      </c>
    </row>
    <row r="26" spans="1:19">
      <c r="B26" t="str">
        <f ca="1">INDEX(tblIndByType!C2:C5,B24)</f>
        <v>Overall score</v>
      </c>
    </row>
    <row r="30" spans="1:19">
      <c r="A30" s="1" t="s">
        <v>1119</v>
      </c>
    </row>
    <row r="31" spans="1:19">
      <c r="A31" s="4" t="s">
        <v>1120</v>
      </c>
      <c r="B31">
        <v>1</v>
      </c>
    </row>
    <row r="32" spans="1:19">
      <c r="A32" s="4" t="s">
        <v>1121</v>
      </c>
      <c r="B32" s="31">
        <f>B31</f>
        <v>1</v>
      </c>
      <c r="D32">
        <f ca="1">INDEX(tblIndicators!A$2:A$20,$B32)</f>
        <v>1</v>
      </c>
      <c r="E32">
        <f ca="1">INDEX(tblIndicators!B$2:B$20,$B32)</f>
        <v>0</v>
      </c>
      <c r="F32" t="str">
        <f ca="1">INDEX(tblIndicators!C$2:C$20,$B32)</f>
        <v>OVERALL</v>
      </c>
      <c r="G32">
        <f ca="1">INDEX(tblIndicators!D$2:D$20,$B32)</f>
        <v>0</v>
      </c>
      <c r="H32" t="str">
        <f ca="1">INDEX(tblIndicators!E$2:E$20,$B32)</f>
        <v/>
      </c>
      <c r="I32" t="str">
        <f ca="1">INDEX(tblIndicators!F$2:F$20,$B32)</f>
        <v>Overall score</v>
      </c>
      <c r="J32" t="str">
        <f ca="1">INDEX(tblIndicators!G$2:G$20,$B32)</f>
        <v>Normalised score 0-100, 100=best</v>
      </c>
      <c r="K32" t="str">
        <f ca="1">INDEX(tblIndicators!H$2:H$20,$B32)</f>
        <v>Overall score: Weighted sum of the following category scores:
●  Regulatory Framework 
●  Investment Climate
●  Institutional Development</v>
      </c>
      <c r="L32">
        <f ca="1">INDEX(tblIndicators!I$2:I$20,$B32)</f>
        <v>0</v>
      </c>
      <c r="M32" t="str">
        <f ca="1">INDEX(tblIndicators!J$2:J$20,$B32)</f>
        <v>Overall score</v>
      </c>
      <c r="N32" t="str">
        <f ca="1">INDEX(tblIndicators!K$2:K$20,$B32)</f>
        <v>Overall score</v>
      </c>
      <c r="O32">
        <f ca="1">INDEX(tblIndicators!L$2:L$20,$B32)</f>
        <v>0</v>
      </c>
      <c r="P32">
        <f ca="1">INDEX(tblIndicators!M$2:M$20,$B32)</f>
        <v>0</v>
      </c>
      <c r="Q32">
        <f ca="1">INDEX(tblIndicators!N$2:N$20,$B32)</f>
        <v>0</v>
      </c>
      <c r="R32">
        <f ca="1">INDEX(tblIndicators!O$2:O$20,$B32)</f>
        <v>0</v>
      </c>
      <c r="S32">
        <f ca="1">INDEX(tblIndicators!P$2:P$20,$B32)</f>
        <v>0</v>
      </c>
    </row>
    <row r="34" spans="1:19">
      <c r="A34" s="4" t="s">
        <v>1122</v>
      </c>
      <c r="B34">
        <v>19</v>
      </c>
    </row>
    <row r="35" spans="1:19">
      <c r="A35" s="4" t="s">
        <v>1123</v>
      </c>
      <c r="B35" s="31">
        <f>B34</f>
        <v>19</v>
      </c>
      <c r="D35">
        <f ca="1">INDEX(tblIndicators!A$2:A$20,$B35)</f>
        <v>19</v>
      </c>
      <c r="E35">
        <f ca="1">INDEX(tblIndicators!B$2:B$20,$B35)</f>
        <v>4</v>
      </c>
      <c r="F35" t="str">
        <f ca="1">INDEX(tblIndicators!C$2:C$20,$B35)</f>
        <v>DEP02</v>
      </c>
      <c r="G35">
        <f ca="1">INDEX(tblIndicators!D$2:D$20,$B35)</f>
        <v>0</v>
      </c>
      <c r="H35">
        <f ca="1">INDEX(tblIndicators!E$2:E$20,$B35)</f>
        <v>0</v>
      </c>
      <c r="I35" t="str">
        <f ca="1">INDEX(tblIndicators!F$2:F$20,$B35)</f>
        <v>MFI clients as % of microenterprises</v>
      </c>
      <c r="J35" t="str">
        <f ca="1">INDEX(tblIndicators!G$2:G$20,$B35)</f>
        <v>% of microenterprises</v>
      </c>
      <c r="K35">
        <f ca="1">INDEX(tblIndicators!H$2:H$20,$B35)</f>
        <v>0</v>
      </c>
      <c r="L35">
        <f ca="1">INDEX(tblIndicators!I$2:I$20,$B35)</f>
        <v>0</v>
      </c>
      <c r="M35">
        <f ca="1">INDEX(tblIndicators!J$2:J$20,$B35)</f>
        <v>0</v>
      </c>
      <c r="N35" t="str">
        <f ca="1">INDEX(tblIndicators!K$2:K$20,$B35)</f>
        <v>MFI clients as % of microenterprises</v>
      </c>
      <c r="O35">
        <f ca="1">INDEX(tblIndicators!L$2:L$20,$B35)</f>
        <v>0</v>
      </c>
      <c r="P35">
        <f ca="1">INDEX(tblIndicators!M$2:M$20,$B35)</f>
        <v>0</v>
      </c>
      <c r="Q35">
        <f ca="1">INDEX(tblIndicators!N$2:N$20,$B35)</f>
        <v>0</v>
      </c>
      <c r="R35">
        <f ca="1">INDEX(tblIndicators!O$2:O$20,$B35)</f>
        <v>0</v>
      </c>
      <c r="S35">
        <f ca="1">INDEX(tblIndicators!P$2:P$20,$B35)</f>
        <v>0</v>
      </c>
    </row>
    <row r="37" spans="1:19">
      <c r="A37" s="4" t="s">
        <v>1098</v>
      </c>
      <c r="B37" t="b">
        <v>0</v>
      </c>
    </row>
    <row r="38" spans="1:19">
      <c r="A38" s="4" t="s">
        <v>1099</v>
      </c>
      <c r="B38" t="b">
        <v>1</v>
      </c>
    </row>
    <row r="40" spans="1:19">
      <c r="A40" s="1" t="s">
        <v>1149</v>
      </c>
    </row>
    <row r="41" spans="1:19">
      <c r="A41" s="118" t="s">
        <v>1155</v>
      </c>
      <c r="B41" s="6"/>
    </row>
    <row r="42" spans="1:19">
      <c r="A42" s="118" t="s">
        <v>1150</v>
      </c>
      <c r="B42" s="31">
        <f>B12</f>
        <v>15</v>
      </c>
      <c r="C42" t="str">
        <f ca="1">INDEX(tblCountries!B$3:B$57,B42)</f>
        <v>DRC</v>
      </c>
      <c r="E42" s="118" t="s">
        <v>1151</v>
      </c>
    </row>
    <row r="43" spans="1:19">
      <c r="A43" s="118" t="s">
        <v>1156</v>
      </c>
      <c r="B43" s="30">
        <v>10</v>
      </c>
      <c r="E43" s="118"/>
    </row>
    <row r="44" spans="1:19">
      <c r="A44" s="118" t="s">
        <v>1124</v>
      </c>
      <c r="B44" s="31">
        <f>B43</f>
        <v>10</v>
      </c>
      <c r="C44" t="str">
        <f ca="1">INDEX(tblCountries!B$3:B$57,B44)</f>
        <v>Chile</v>
      </c>
      <c r="E44" s="118" t="s">
        <v>1151</v>
      </c>
    </row>
    <row r="45" spans="1:19">
      <c r="A45" s="118" t="s">
        <v>1157</v>
      </c>
      <c r="B45" s="30">
        <v>3</v>
      </c>
      <c r="E45" s="118"/>
    </row>
    <row r="46" spans="1:19">
      <c r="A46" s="118" t="s">
        <v>1153</v>
      </c>
      <c r="B46" s="31">
        <f>B45-1</f>
        <v>2</v>
      </c>
      <c r="C46" t="str">
        <f ca="1">INDEX(tblCountries!B$2:B$57,B46+1)</f>
        <v>Armenia</v>
      </c>
      <c r="E46" s="118" t="s">
        <v>1152</v>
      </c>
    </row>
    <row r="47" spans="1:19">
      <c r="A47" s="118" t="s">
        <v>1158</v>
      </c>
      <c r="B47" s="30">
        <v>5</v>
      </c>
      <c r="E47" s="118"/>
    </row>
    <row r="48" spans="1:19">
      <c r="A48" s="118" t="s">
        <v>1154</v>
      </c>
      <c r="B48" s="31">
        <f>B47-1</f>
        <v>4</v>
      </c>
      <c r="C48" t="str">
        <f ca="1">INDEX(tblCountries!B$2:B$57,B48+1)</f>
        <v>Bangladesh</v>
      </c>
      <c r="E48" s="118" t="s">
        <v>1152</v>
      </c>
    </row>
    <row r="51" spans="1:4">
      <c r="A51" s="1" t="s">
        <v>1164</v>
      </c>
    </row>
    <row r="52" spans="1:4">
      <c r="A52" s="118" t="s">
        <v>1167</v>
      </c>
      <c r="B52" s="30">
        <v>1</v>
      </c>
    </row>
    <row r="53" spans="1:4">
      <c r="A53" s="118" t="s">
        <v>1166</v>
      </c>
      <c r="B53" t="str">
        <f ca="1">INDEX(tblCountries!B74:B93,B52)</f>
        <v>AR</v>
      </c>
    </row>
    <row r="54" spans="1:4">
      <c r="A54" s="118" t="s">
        <v>1165</v>
      </c>
      <c r="B54">
        <f ca="1">MATCH(B53,tblCountries!C3:C57,0)</f>
        <v>1</v>
      </c>
    </row>
    <row r="55" spans="1:4">
      <c r="A55" s="118" t="s">
        <v>1171</v>
      </c>
      <c r="B55" t="str">
        <f ca="1">INDEX(lu_countries,B54)</f>
        <v>Argentina</v>
      </c>
    </row>
    <row r="57" spans="1:4">
      <c r="A57" s="1" t="s">
        <v>1182</v>
      </c>
    </row>
    <row r="58" spans="1:4">
      <c r="A58" s="118" t="s">
        <v>1185</v>
      </c>
      <c r="B58" s="30">
        <v>2</v>
      </c>
      <c r="D58" s="118" t="s">
        <v>1186</v>
      </c>
    </row>
    <row r="59" spans="1:4">
      <c r="D59" s="118" t="s">
        <v>1187</v>
      </c>
    </row>
  </sheetData>
  <phoneticPr fontId="0" type="noConversion"/>
  <pageMargins left="0.75" right="0.75" top="1" bottom="1" header="0.5" footer="0.5"/>
  <pageSetup paperSize="0" orientation="portrait" horizontalDpi="0" verticalDpi="0" copies="0"/>
  <headerFooter alignWithMargins="0"/>
</worksheet>
</file>

<file path=xl/worksheets/sheet4.xml><?xml version="1.0" encoding="utf-8"?>
<worksheet xmlns="http://schemas.openxmlformats.org/spreadsheetml/2006/main" xmlns:r="http://schemas.openxmlformats.org/officeDocument/2006/relationships">
  <sheetPr codeName="Sheet16"/>
  <dimension ref="A1:AA58"/>
  <sheetViews>
    <sheetView topLeftCell="A10" workbookViewId="0">
      <selection activeCell="I28" sqref="I28"/>
    </sheetView>
  </sheetViews>
  <sheetFormatPr defaultRowHeight="12.75"/>
  <sheetData>
    <row r="1" spans="1:11">
      <c r="A1" s="4" t="s">
        <v>878</v>
      </c>
      <c r="B1">
        <f ca="1">uxb_settings!B42</f>
        <v>15</v>
      </c>
      <c r="C1" t="str">
        <f ca="1">uxb_settings!C42</f>
        <v>DRC</v>
      </c>
      <c r="D1" t="str">
        <f>C1</f>
        <v>DRC</v>
      </c>
    </row>
    <row r="2" spans="1:11">
      <c r="A2" s="4"/>
      <c r="B2">
        <f ca="1">uxb_settings!B44</f>
        <v>10</v>
      </c>
      <c r="C2" t="str">
        <f ca="1">uxb_settings!C44</f>
        <v>Chile</v>
      </c>
      <c r="D2" t="str">
        <f>C2</f>
        <v>Chile</v>
      </c>
    </row>
    <row r="3" spans="1:11">
      <c r="A3" s="4"/>
      <c r="B3">
        <f ca="1">uxb_settings!B46</f>
        <v>2</v>
      </c>
      <c r="C3" t="str">
        <f ca="1">uxb_settings!C46</f>
        <v>Armenia</v>
      </c>
      <c r="D3" t="str">
        <f>IF(B3=0,"",C3)</f>
        <v>Armenia</v>
      </c>
    </row>
    <row r="4" spans="1:11">
      <c r="A4" s="4"/>
      <c r="B4">
        <f ca="1">uxb_settings!B48</f>
        <v>4</v>
      </c>
      <c r="C4" t="str">
        <f ca="1">uxb_settings!C48</f>
        <v>Bangladesh</v>
      </c>
      <c r="D4" t="str">
        <f>IF(B4=0,"",C4)</f>
        <v>Bangladesh</v>
      </c>
    </row>
    <row r="6" spans="1:11">
      <c r="A6" t="str">
        <f ca="1">tblIndByType!A2</f>
        <v>OVERALL</v>
      </c>
      <c r="B6">
        <f ca="1">MATCH(A6,scores_2009!C$3:C$28,0)</f>
        <v>1</v>
      </c>
      <c r="D6" t="str">
        <f ca="1">tblIndByType!C2</f>
        <v>Overall score</v>
      </c>
      <c r="E6">
        <f ca="1">INDEX(norm_data,$B6,$B$1)</f>
        <v>36.799999999999997</v>
      </c>
      <c r="F6">
        <f ca="1">INDEX(norm_data,$B6,$B$2)</f>
        <v>48</v>
      </c>
      <c r="G6">
        <f ca="1">IF($B$3=0,"",INDEX(norm_data,$B6,$B$3))</f>
        <v>43.9</v>
      </c>
      <c r="H6">
        <f ca="1">IF($B$4=0,"",INDEX(norm_data,$B6,$B$4))</f>
        <v>42.7</v>
      </c>
    </row>
    <row r="7" spans="1:11">
      <c r="A7" t="str">
        <f ca="1">tblIndByType!A3</f>
        <v>RF00</v>
      </c>
      <c r="B7">
        <f ca="1">MATCH(A7,scores_2009!C$3:C$28,0)</f>
        <v>2</v>
      </c>
      <c r="D7" t="str">
        <f ca="1">tblIndByType!C3</f>
        <v xml:space="preserve">Regulatory Framework </v>
      </c>
      <c r="E7">
        <f ca="1">INDEX(norm_data,$B7,$B$1)</f>
        <v>62.5</v>
      </c>
      <c r="F7">
        <f ca="1">INDEX(norm_data,$B7,$B$2)</f>
        <v>50</v>
      </c>
      <c r="G7">
        <f ca="1">IF($B$3=0,"",INDEX(norm_data,$B7,$B$3))</f>
        <v>50</v>
      </c>
      <c r="H7">
        <f ca="1">IF($B$4=0,"",INDEX(norm_data,$B7,$B$4))</f>
        <v>43.8</v>
      </c>
    </row>
    <row r="8" spans="1:11">
      <c r="A8" t="str">
        <f ca="1">tblIndByType!A4</f>
        <v>IC00</v>
      </c>
      <c r="B8">
        <f ca="1">MATCH(A8,scores_2009!C$3:C$28,0)</f>
        <v>3</v>
      </c>
      <c r="D8" t="str">
        <f ca="1">tblIndByType!C4</f>
        <v>Investment Climate</v>
      </c>
      <c r="E8">
        <f ca="1">INDEX(norm_data,$B8,$B$1)</f>
        <v>25.8</v>
      </c>
      <c r="F8">
        <f ca="1">INDEX(norm_data,$B8,$B$2)</f>
        <v>73.3</v>
      </c>
      <c r="G8">
        <f ca="1">IF($B$3=0,"",INDEX(norm_data,$B8,$B$3))</f>
        <v>53.1</v>
      </c>
      <c r="H8">
        <f ca="1">IF($B$4=0,"",INDEX(norm_data,$B8,$B$4))</f>
        <v>42.5</v>
      </c>
    </row>
    <row r="9" spans="1:11">
      <c r="A9" t="str">
        <f ca="1">tblIndByType!A5</f>
        <v>ID00</v>
      </c>
      <c r="B9">
        <f ca="1">MATCH(A9,scores_2009!C$3:C$28,0)</f>
        <v>4</v>
      </c>
      <c r="D9" t="str">
        <f ca="1">tblIndByType!C5</f>
        <v>Institutional Development</v>
      </c>
      <c r="E9">
        <f ca="1">INDEX(norm_data,$B9,$B$1)</f>
        <v>16.7</v>
      </c>
      <c r="F9">
        <f ca="1">INDEX(norm_data,$B9,$B$2)</f>
        <v>33.299999999999997</v>
      </c>
      <c r="G9">
        <f ca="1">IF($B$3=0,"",INDEX(norm_data,$B9,$B$3))</f>
        <v>33.299999999999997</v>
      </c>
      <c r="H9">
        <f ca="1">IF($B$4=0,"",INDEX(norm_data,$B9,$B$4))</f>
        <v>41.7</v>
      </c>
    </row>
    <row r="10" spans="1:11">
      <c r="K10" t="str">
        <f ca="1">INDEX(E13:E25,uxb_settings!B16)</f>
        <v>Regulation of microcredit operations</v>
      </c>
    </row>
    <row r="11" spans="1:11">
      <c r="K11" t="str">
        <f ca="1">INDEX(K13:K25,uxb_settings!B16)</f>
        <v>The banking industry is still in its infancy following the country’s emergence from civil war in the late 1990s. The legal justification for the regulation of the banking industry is Banking Act (No. 003-2002) and for microfinance institutions (MFIs) specifically there is a directive entitled Instruction No. 001, December 2005, which classifies MFIs into three categories of varying development: Category 1: MF enterprises, credit services only; Category 2: MF enterprises, credit and savings services, for-profit; Category 3: MF corporations, must be for-profit, limited liability companies. The regulator of the finance industry is the Banque Centrale du Congo (BCC, the Central Bank), as outlined by the Banking Act 2002. At present, there are no interest rate caps, reporting is burdensome, but not prohibitive, and the minimum capital requirements are tiered for different institutions and are low: US$15,000 for Category 1 and up to US$100,000 for Category 3 MFIs. However, registration and licensing of commercial banks, including those offering microfinance products, requires the approval of the president, Joseph Kabila, and can take up to 18 months. The majority of funding for the banking sector comes from abroad, as the DRC's public sector does not have the resources to promote microfinance and many donor organisations (USAID, DfID, CIDA, GTZ, and others) are willing to do so. However, most of these are grants for technical assistance, and not working capital per se. (CGAP diagnostic report 2007; personal interview: June 2009.)</v>
      </c>
    </row>
    <row r="12" spans="1:11">
      <c r="B12" s="4" t="s">
        <v>1126</v>
      </c>
      <c r="C12" s="4" t="s">
        <v>1127</v>
      </c>
    </row>
    <row r="13" spans="1:11">
      <c r="A13" t="str">
        <f ca="1">tblIndicators!C4</f>
        <v>RF01</v>
      </c>
      <c r="B13">
        <f ca="1">MATCH(A13,scores_2009!C$3:C$28,0)</f>
        <v>10</v>
      </c>
      <c r="C13">
        <f ca="1">MATCH(A13,scores_2009!C$34:C$52,0)</f>
        <v>3</v>
      </c>
      <c r="E13" t="str">
        <f ca="1">tblIndicators!F4</f>
        <v>Regulation of microcredit operations</v>
      </c>
      <c r="F13">
        <f t="shared" ref="F13:F26" ca="1" si="0">INDEX(norm_data,$B13,$B$1)</f>
        <v>2</v>
      </c>
      <c r="G13">
        <f t="shared" ref="G13:G26" ca="1" si="1">INDEX(norm_data,$B13,$B$2)</f>
        <v>3</v>
      </c>
      <c r="H13">
        <f t="shared" ref="H13:H26" ca="1" si="2">IF($B$3=0,"",INDEX(norm_data,$B13,$B$3))</f>
        <v>3</v>
      </c>
      <c r="I13">
        <f t="shared" ref="I13:I26" ca="1" si="3">IF($B$4=0,"",INDEX(norm_data,$B13,$B$4))</f>
        <v>2</v>
      </c>
      <c r="K13" t="str">
        <f t="shared" ref="K13:K27" ca="1" si="4">INDEX(text_data,$C13,$B$1)</f>
        <v>The banking industry is still in its infancy following the country’s emergence from civil war in the late 1990s. The legal justification for the regulation of the banking industry is Banking Act (No. 003-2002) and for microfinance institutions (MFIs) specifically there is a directive entitled Instruction No. 001, December 2005, which classifies MFIs into three categories of varying development: Category 1: MF enterprises, credit services only; Category 2: MF enterprises, credit and savings services, for-profit; Category 3: MF corporations, must be for-profit, limited liability companies. The regulator of the finance industry is the Banque Centrale du Congo (BCC, the Central Bank), as outlined by the Banking Act 2002. At present, there are no interest rate caps, reporting is burdensome, but not prohibitive, and the minimum capital requirements are tiered for different institutions and are low: US$15,000 for Category 1 and up to US$100,000 for Category 3 MFIs. However, registration and licensing of commercial banks, including those offering microfinance products, requires the approval of the president, Joseph Kabila, and can take up to 18 months. The majority of funding for the banking sector comes from abroad, as the DRC's public sector does not have the resources to promote microfinance and many donor organisations (USAID, DfID, CIDA, GTZ, and others) are willing to do so. However, most of these are grants for technical assistance, and not working capital per se. (CGAP diagnostic report 2007; personal interview: June 2009.)</v>
      </c>
    </row>
    <row r="14" spans="1:11">
      <c r="A14" t="str">
        <f ca="1">tblIndicators!C5</f>
        <v>RF02</v>
      </c>
      <c r="B14">
        <f ca="1">MATCH(A14,scores_2009!C$3:C$28,0)</f>
        <v>11</v>
      </c>
      <c r="C14">
        <f ca="1">MATCH(A14,scores_2009!C$34:C$52,0)</f>
        <v>4</v>
      </c>
      <c r="E14" t="str">
        <f ca="1">tblIndicators!F5</f>
        <v>Formation and operation of regulated, specialised MFIs</v>
      </c>
      <c r="F14">
        <f t="shared" ca="1" si="0"/>
        <v>3</v>
      </c>
      <c r="G14">
        <f t="shared" ca="1" si="1"/>
        <v>2</v>
      </c>
      <c r="H14">
        <f t="shared" ca="1" si="2"/>
        <v>2</v>
      </c>
      <c r="I14">
        <f t="shared" ca="1" si="3"/>
        <v>1</v>
      </c>
      <c r="K14" t="str">
        <f t="shared" ca="1" si="4"/>
        <v>A number of greenfield MFIs have been incorporated in the past two years, mostly funded by multilateral donors. FINCA is currently transforming from a non-governmental organisation (NGO) to a deposit-taking non-bank financial institution (NBFI). Registration for new institutions is a big issue; for example, it took over nine months to get approval for the newly formed bank, Advans DRC (with significant help from the IFC). (CGAP diagnostic report 2007; personal interview: June 2009.)</v>
      </c>
    </row>
    <row r="15" spans="1:11">
      <c r="A15" t="str">
        <f ca="1">tblIndicators!C6</f>
        <v>RF03</v>
      </c>
      <c r="B15">
        <f ca="1">MATCH(A15,scores_2009!C$3:C$28,0)</f>
        <v>12</v>
      </c>
      <c r="C15">
        <f ca="1">MATCH(A15,scores_2009!C$34:C$52,0)</f>
        <v>5</v>
      </c>
      <c r="E15" t="str">
        <f ca="1">tblIndicators!F6</f>
        <v>Formation and operation of non-regulated MFIs</v>
      </c>
      <c r="F15">
        <f t="shared" ca="1" si="0"/>
        <v>3</v>
      </c>
      <c r="G15">
        <f t="shared" ca="1" si="1"/>
        <v>2</v>
      </c>
      <c r="H15">
        <f t="shared" ca="1" si="2"/>
        <v>0</v>
      </c>
      <c r="I15">
        <f t="shared" ca="1" si="3"/>
        <v>2</v>
      </c>
      <c r="K15" t="str">
        <f t="shared" ca="1" si="4"/>
        <v>NGOs are permitted to provide clients with loans and other microcredit services; however, they cannot mobilise savings. Four of the 16 institutions listed on the MIX market are registered as NGOs. Savings and credit co-operatives (Coopecs) are governed by Law 002-2002, with no minimum capital required. (CGAP diagnostic report 2007; personal interview: June 2009.)</v>
      </c>
    </row>
    <row r="16" spans="1:11">
      <c r="A16" t="str">
        <f ca="1">tblIndicators!C7</f>
        <v>RF04</v>
      </c>
      <c r="B16">
        <f ca="1">MATCH(A16,scores_2009!C$3:C$28,0)</f>
        <v>13</v>
      </c>
      <c r="C16">
        <f ca="1">MATCH(A16,scores_2009!C$34:C$52,0)</f>
        <v>6</v>
      </c>
      <c r="E16" t="str">
        <f ca="1">tblIndicators!F7</f>
        <v>Regulatory and examination capacity</v>
      </c>
      <c r="F16">
        <f t="shared" ca="1" si="0"/>
        <v>2</v>
      </c>
      <c r="G16">
        <f t="shared" ca="1" si="1"/>
        <v>1</v>
      </c>
      <c r="H16">
        <f t="shared" ca="1" si="2"/>
        <v>3</v>
      </c>
      <c r="I16">
        <f t="shared" ca="1" si="3"/>
        <v>2</v>
      </c>
      <c r="K16" t="str">
        <f t="shared" ca="1" si="4"/>
        <v>Regulations call for annual on-site visits by the BCC. However, supervisory capacity is severely lacking. The low number of MFIs (currently 16 institutions) allows banks to conduct on-site; however, these are limited to Kinshasa and the BCC cannot supervise institutions outside of the capital.(CGAP diagnostic report 2007; personal interview: June 2009.)</v>
      </c>
    </row>
    <row r="17" spans="1:27">
      <c r="A17" t="str">
        <f ca="1">tblIndicators!C9</f>
        <v>IC01</v>
      </c>
      <c r="B17">
        <f ca="1">MATCH(A17,scores_2009!C$3:C$28,0)</f>
        <v>15</v>
      </c>
      <c r="C17">
        <f ca="1">MATCH(A17,scores_2009!C$34:C$52,0)</f>
        <v>8</v>
      </c>
      <c r="E17" t="str">
        <f ca="1">tblIndicators!F9</f>
        <v>Political stability</v>
      </c>
      <c r="F17">
        <f t="shared" ca="1" si="0"/>
        <v>1.2</v>
      </c>
      <c r="G17">
        <f t="shared" ca="1" si="1"/>
        <v>3</v>
      </c>
      <c r="H17">
        <f t="shared" ca="1" si="2"/>
        <v>1</v>
      </c>
      <c r="I17">
        <f t="shared" ca="1" si="3"/>
        <v>1.8</v>
      </c>
      <c r="K17" t="str">
        <f t="shared" ca="1" si="4"/>
        <v>Mr Kabila is expected to remain in power in the short term, and political-ethnic conflict is likely to continue in the east of the country. The government's economic policy priority is to respond appropriately to the world economic downturn, which has had a deep impact on the national economy. In the east, bloody attacks by the Forces Democratiques de Liberation du Rwanda (FDLR) on civilians will continue and more people will be displaced, despite the arrival of long-awaited Mission de l'Organisation des Nations Unies en RD Congo (MONUC, UN Mission in DRC) reinforcements later this year. The restoration of diplomatic relations with Rwanda will be widely welcomed internationally. However relations with another neighbour, Angola, have worsened. The two governments are arguing over their maritime borders and the offshore oil blocks under them. (Economist Intelligence Unit, Country Report, June 2009.)</v>
      </c>
    </row>
    <row r="18" spans="1:27">
      <c r="A18" t="str">
        <f ca="1">tblIndicators!C10</f>
        <v>IC02</v>
      </c>
      <c r="B18">
        <f ca="1">MATCH(A18,scores_2009!C$3:C$28,0)</f>
        <v>16</v>
      </c>
      <c r="C18">
        <f ca="1">MATCH(A18,scores_2009!C$34:C$52,0)</f>
        <v>9</v>
      </c>
      <c r="E18" t="str">
        <f ca="1">tblIndicators!F10</f>
        <v>Capital market development</v>
      </c>
      <c r="F18">
        <f t="shared" ca="1" si="0"/>
        <v>1</v>
      </c>
      <c r="G18">
        <f t="shared" ca="1" si="1"/>
        <v>3.6</v>
      </c>
      <c r="H18">
        <f t="shared" ca="1" si="2"/>
        <v>1.4</v>
      </c>
      <c r="I18">
        <f t="shared" ca="1" si="3"/>
        <v>2.4</v>
      </c>
      <c r="K18" t="str">
        <f t="shared" ca="1" si="4"/>
        <v>The financial sector is recovering after years of difficult, and at times impossible, operating conditions, which have seen banking intermediation in commercial transactions drop to an estimated 3% of the total. There are 16 functioning commercial banks. The biggest are subsidiaries and associates of Western banks, although Rawbank, which is Congolese, is growing in importance. Commercial credit provision is low, so banks contribute little to money-creation, and most money growth comes instead from the financing of the government's fiscal deficits by the BCC. Most businesses finance their operations from their own revenue or from the informal financial sector. Commercial banks have maintained profitable operations by providing financial services to international institutions operating in the country and through expensive transaction fees, although increasing competition has driven fees down sharply since 2004. The expected donor aid will provide support for the Congolese franc, but the currency remains highly vulnerable to depreciation. Weaker export earnings owing to lower copper prices and reduced mining output, plus the prospect of continued fiscal deficits above the level of the emergency assistance, are the main risks. Another factor will be the performance of the US dollar, which we forecast will strengthen against the euro during 2009, before weakening slightly in 2010. (Economist Intelligence Unit Country Profile, September 2008; Economist Intelligence Unit Country Report, June 2009.)</v>
      </c>
    </row>
    <row r="19" spans="1:27">
      <c r="A19" t="str">
        <f ca="1">tblIndicators!C11</f>
        <v>IC03</v>
      </c>
      <c r="B19">
        <f ca="1">MATCH(A19,scores_2009!C$3:C$28,0)</f>
        <v>17</v>
      </c>
      <c r="C19">
        <f ca="1">MATCH(A19,scores_2009!C$34:C$52,0)</f>
        <v>10</v>
      </c>
      <c r="E19" t="str">
        <f ca="1">tblIndicators!F11</f>
        <v>Judicial system</v>
      </c>
      <c r="F19">
        <f t="shared" ca="1" si="0"/>
        <v>0</v>
      </c>
      <c r="G19">
        <f t="shared" ca="1" si="1"/>
        <v>3</v>
      </c>
      <c r="H19">
        <f t="shared" ca="1" si="2"/>
        <v>1.3333333333333335</v>
      </c>
      <c r="I19">
        <f t="shared" ca="1" si="3"/>
        <v>1</v>
      </c>
      <c r="K19" t="str">
        <f t="shared" ca="1" si="4"/>
        <v>The judiciary has for decades been underpaid, undertrained and intimidated by the executive, and there is a nationwide shortage of court rooms and magistrates. Despite this, there are many good legal minds in the country, and the quality of legal opinion offered is often high. Yet cases typically move at a torturously slow pace, and are too frequently decided not on merit, but on the size of the bribe on offer, to the detriment of the credibility of the legal system. According to the World Bank Doing Business project, the DRC lags the regional average in enforcing contracts in terms of number of procedures and cost; however. the process is more expedient. (Economist Intelligence Unit Country Profile, September 2008; World Bank Doing Business 2009.)</v>
      </c>
    </row>
    <row r="20" spans="1:27">
      <c r="A20" t="str">
        <f ca="1">tblIndicators!C12</f>
        <v>IC04</v>
      </c>
      <c r="B20">
        <f ca="1">MATCH(A20,scores_2009!C$3:C$28,0)</f>
        <v>18</v>
      </c>
      <c r="C20">
        <f ca="1">MATCH(A20,scores_2009!C$34:C$52,0)</f>
        <v>11</v>
      </c>
      <c r="E20" t="str">
        <f ca="1">tblIndicators!F12</f>
        <v>Accounting standards</v>
      </c>
      <c r="F20">
        <f t="shared" ca="1" si="0"/>
        <v>1</v>
      </c>
      <c r="G20">
        <f t="shared" ca="1" si="1"/>
        <v>3</v>
      </c>
      <c r="H20">
        <f t="shared" ca="1" si="2"/>
        <v>3</v>
      </c>
      <c r="I20">
        <f t="shared" ca="1" si="3"/>
        <v>2</v>
      </c>
      <c r="K20" t="str">
        <f t="shared" ca="1" si="4"/>
        <v>The DRC has a de facto two-tiered system for accounting standards; MFIs funded by international donors are required to follow IFRS. However, NGOs and other domestic institutions are not subject to these requirements. Accounting standards in general are very poor. (personal interview: June 2009.)</v>
      </c>
    </row>
    <row r="21" spans="1:27">
      <c r="A21" t="str">
        <f ca="1">tblIndicators!C13</f>
        <v>IC05</v>
      </c>
      <c r="B21">
        <f ca="1">MATCH(A21,scores_2009!C$3:C$28,0)</f>
        <v>19</v>
      </c>
      <c r="C21">
        <f ca="1">MATCH(A21,scores_2009!C$34:C$52,0)</f>
        <v>12</v>
      </c>
      <c r="E21" t="str">
        <f ca="1">tblIndicators!F13</f>
        <v>Governance standards</v>
      </c>
      <c r="F21">
        <f t="shared" ca="1" si="0"/>
        <v>1</v>
      </c>
      <c r="G21">
        <f t="shared" ca="1" si="1"/>
        <v>3</v>
      </c>
      <c r="H21">
        <f t="shared" ca="1" si="2"/>
        <v>3</v>
      </c>
      <c r="I21">
        <f t="shared" ca="1" si="3"/>
        <v>1</v>
      </c>
      <c r="K21" t="str">
        <f t="shared" ca="1" si="4"/>
        <v>There is a distinction between foreign-funded banks and local entities. IFC-funded MFIs (Advans, ProCredit) and other multilateral clients follow best practice in terms of corporate governance. The DRC does not have guidelines for good corporate governance on the bookkeeping and accountability; independence and transparency for governing bodies is very weak. The World Bank gives the country a score of 3.3 out of a possible 10 for the Investor Protection Index. (World Bank Doing Business 2009; personal interview: June 2009.)</v>
      </c>
    </row>
    <row r="22" spans="1:27">
      <c r="A22" t="str">
        <f ca="1">tblIndicators!C14</f>
        <v>IC06</v>
      </c>
      <c r="B22">
        <f ca="1">MATCH(A22,scores_2009!C$3:C$28,0)</f>
        <v>20</v>
      </c>
      <c r="C22">
        <f ca="1">MATCH(A22,scores_2009!C$34:C$52,0)</f>
        <v>13</v>
      </c>
      <c r="E22" t="str">
        <f ca="1">tblIndicators!F14</f>
        <v>MFI transparency</v>
      </c>
      <c r="F22">
        <f t="shared" ca="1" si="0"/>
        <v>2</v>
      </c>
      <c r="G22">
        <f t="shared" ca="1" si="1"/>
        <v>2</v>
      </c>
      <c r="H22">
        <f t="shared" ca="1" si="2"/>
        <v>3</v>
      </c>
      <c r="I22">
        <f t="shared" ca="1" si="3"/>
        <v>2</v>
      </c>
      <c r="K22" t="str">
        <f t="shared" ca="1" si="4"/>
        <v>For banks and MFIs supported by Multilaterals (Procredit, Finca, etc), conforming to international norms and transparency is not an issue, and these organisations commonly have a transparent policy regarding disclosure of interest rates to clients. However, for local organisations, transparency remains a large problem, and it is uncertain whether outside the capital MFIs regularly disclose the effective costs of borrowing to their clients. The Congolese Bankers Association provides guidelines, and four of the five largest MFIs provided audited financial statements for fiscal year 2007-08 (January-December) on MIX market. However, none of the institutions listed on MIX Market for 2008 had undergone external ratings. (Personal interview June 2009; MIX market.)</v>
      </c>
    </row>
    <row r="23" spans="1:27">
      <c r="A23" t="str">
        <f ca="1">tblIndicators!C16</f>
        <v>ID01</v>
      </c>
      <c r="B23">
        <f ca="1">MATCH(A23,scores_2009!C$3:C$28,0)</f>
        <v>22</v>
      </c>
      <c r="C23">
        <f ca="1">MATCH(A23,scores_2009!C$34:C$52,0)</f>
        <v>15</v>
      </c>
      <c r="E23" t="str">
        <f ca="1">tblIndicators!F16</f>
        <v>Range of MFI Services</v>
      </c>
      <c r="F23">
        <f t="shared" ca="1" si="0"/>
        <v>2</v>
      </c>
      <c r="G23">
        <f t="shared" ca="1" si="1"/>
        <v>2</v>
      </c>
      <c r="H23">
        <f t="shared" ca="1" si="2"/>
        <v>0</v>
      </c>
      <c r="I23">
        <f t="shared" ca="1" si="3"/>
        <v>3</v>
      </c>
      <c r="K23" t="str">
        <f t="shared" ca="1" si="4"/>
        <v>Most MFIs focus on savings and loans. The larger banks plan to enter into mobile/SMS banking and debit cards (ProCredit, Finca, Advans); however, this is predicated on favourable regulations for mobile banking. The insurance market is highly regulated and banks have not ventured into this arena. (Personal interview: June 2009; MIX market.)</v>
      </c>
    </row>
    <row r="24" spans="1:27">
      <c r="A24" t="str">
        <f ca="1">tblIndicators!C17</f>
        <v>ID02</v>
      </c>
      <c r="B24">
        <f ca="1">MATCH(A24,scores_2009!C$3:C$28,0)</f>
        <v>23</v>
      </c>
      <c r="C24">
        <f ca="1">MATCH(A24,scores_2009!C$34:C$52,0)</f>
        <v>16</v>
      </c>
      <c r="E24" t="str">
        <f ca="1">tblIndicators!F17</f>
        <v>Credit bureaus</v>
      </c>
      <c r="F24">
        <f t="shared" ca="1" si="0"/>
        <v>0</v>
      </c>
      <c r="G24">
        <f t="shared" ca="1" si="1"/>
        <v>2</v>
      </c>
      <c r="H24">
        <f t="shared" ca="1" si="2"/>
        <v>4</v>
      </c>
      <c r="I24">
        <f t="shared" ca="1" si="3"/>
        <v>0</v>
      </c>
      <c r="K24" t="str">
        <f t="shared" ca="1" si="4"/>
        <v>Currently, there are no functioning credit bureaus, and the country has received a score of 0 in the “Getting Credit” for the credit information index for World Bank Doing Business 2009. Additionally, the legal system is very weak and prone to significant corruption. (World Bank, Doing Business, 2009.)</v>
      </c>
    </row>
    <row r="25" spans="1:27">
      <c r="A25" t="str">
        <f ca="1">tblIndicators!C18</f>
        <v>ID03</v>
      </c>
      <c r="B25">
        <f ca="1">MATCH(A25,scores_2009!C$3:C$28,0)</f>
        <v>24</v>
      </c>
      <c r="C25">
        <f ca="1">MATCH(A25,scores_2009!C$34:C$52,0)</f>
        <v>17</v>
      </c>
      <c r="E25" t="str">
        <f ca="1">tblIndicators!F18</f>
        <v>Level of competition</v>
      </c>
      <c r="F25">
        <f t="shared" ca="1" si="0"/>
        <v>0</v>
      </c>
      <c r="G25">
        <f t="shared" ca="1" si="1"/>
        <v>0</v>
      </c>
      <c r="H25">
        <f t="shared" ca="1" si="2"/>
        <v>0</v>
      </c>
      <c r="I25">
        <f t="shared" ca="1" si="3"/>
        <v>2</v>
      </c>
      <c r="K25" t="str">
        <f t="shared" ca="1" si="4"/>
        <v>Currently, there is a very low level of market competition, even in Kinshasa (8-9m inhabitants). Only Procredit and Finca (Kinshasa-based) are the significant MFI players, and COOPEC Nyawera (Eastern-based) had a portfolio of size comparable to that of FINCA (at around 20% of market share in 2007). Market data from MIX in 2007 show that the DRC has an HHI score of around 3,000. (MIX Market 2007; personal interviews: June2009.)</v>
      </c>
    </row>
    <row r="26" spans="1:27">
      <c r="A26" t="str">
        <f ca="1">tblIndicators!C19</f>
        <v>DEP01</v>
      </c>
      <c r="B26">
        <f ca="1">MATCH(A26,scores_2009!C$3:C$28,0)</f>
        <v>25</v>
      </c>
      <c r="C26">
        <f ca="1">MATCH(A26,scores_2009!C$34:C$52,0)</f>
        <v>18</v>
      </c>
      <c r="E26" t="str">
        <f ca="1">tblIndicators!F19</f>
        <v>MFI clients as % of population</v>
      </c>
      <c r="F26">
        <f t="shared" ca="1" si="0"/>
        <v>9.939743589743591E-2</v>
      </c>
      <c r="G26">
        <f t="shared" ca="1" si="1"/>
        <v>1.2774980612062279</v>
      </c>
      <c r="H26">
        <f t="shared" ca="1" si="2"/>
        <v>8.0098697068403926</v>
      </c>
      <c r="I26">
        <f t="shared" ca="1" si="3"/>
        <v>15.006832963549922</v>
      </c>
      <c r="K26" t="str">
        <f t="shared" ca="1" si="4"/>
        <v/>
      </c>
    </row>
    <row r="27" spans="1:27">
      <c r="A27" t="str">
        <f ca="1">tblIndicators!C20</f>
        <v>DEP02</v>
      </c>
      <c r="B27">
        <f ca="1">MATCH(A27,scores_2009!C$3:C$28,0)</f>
        <v>26</v>
      </c>
      <c r="C27">
        <f ca="1">MATCH(A27,scores_2009!C$34:C$52,0)</f>
        <v>19</v>
      </c>
      <c r="E27" t="str">
        <f ca="1">tblIndicators!F20</f>
        <v>MFI clients as % of microenterprises</v>
      </c>
      <c r="F27" t="str">
        <f ca="1">IF(ISERROR(INDEX(norm_data,$B27,$B$1)),"n/a",INDEX(norm_data,$B27,$B$1))</f>
        <v>n/a</v>
      </c>
      <c r="G27" s="59">
        <f ca="1">IF(ISERROR(INDEX(norm_data,$B27,$B$2)),"n/a",INDEX(norm_data,$B27,$B$2))</f>
        <v>13.88282130419311</v>
      </c>
      <c r="H27" t="str">
        <f ca="1">IF($B$3=0,"",IF(ISERROR(INDEX(norm_data,$B27,$B$3)),"n/a",INDEX(norm_data,$B27,$B$3)))</f>
        <v>n/a</v>
      </c>
      <c r="I27" t="str">
        <f ca="1">IF($B$4=0,"",IF(ISERROR(INDEX(norm_data,$B27,$B$4)),"n/a",INDEX(norm_data,$B27,$B$4)))</f>
        <v>n/a</v>
      </c>
      <c r="K27" t="str">
        <f t="shared" ca="1" si="4"/>
        <v/>
      </c>
    </row>
    <row r="30" spans="1:27">
      <c r="D30" t="str">
        <f>D6</f>
        <v>Overall score</v>
      </c>
      <c r="F30" s="118" t="s">
        <v>1073</v>
      </c>
      <c r="G30" s="118" t="s">
        <v>1159</v>
      </c>
      <c r="H30" s="118" t="s">
        <v>729</v>
      </c>
      <c r="I30" s="118" t="s">
        <v>947</v>
      </c>
      <c r="K30" t="str">
        <f>D7</f>
        <v xml:space="preserve">Regulatory Framework </v>
      </c>
      <c r="L30" s="118" t="s">
        <v>1073</v>
      </c>
      <c r="M30" s="118" t="s">
        <v>1159</v>
      </c>
      <c r="N30" s="118" t="s">
        <v>729</v>
      </c>
      <c r="O30" s="118" t="s">
        <v>947</v>
      </c>
      <c r="Q30" t="str">
        <f>D8</f>
        <v>Investment Climate</v>
      </c>
      <c r="R30" s="118" t="s">
        <v>1073</v>
      </c>
      <c r="S30" s="118" t="s">
        <v>1159</v>
      </c>
      <c r="T30" s="118" t="s">
        <v>729</v>
      </c>
      <c r="U30" s="118" t="s">
        <v>947</v>
      </c>
      <c r="W30" t="str">
        <f>D9</f>
        <v>Institutional Development</v>
      </c>
    </row>
    <row r="31" spans="1:27">
      <c r="B31">
        <v>1</v>
      </c>
      <c r="C31">
        <f>B1</f>
        <v>15</v>
      </c>
      <c r="D31" t="str">
        <f>C1</f>
        <v>DRC</v>
      </c>
      <c r="E31">
        <f>E6</f>
        <v>36.799999999999997</v>
      </c>
      <c r="F31" s="56">
        <f>IF($C31=0,"",RANK(E31,E$31:E$34)+COUNTIF(E$31:E31,E31)-1)</f>
        <v>4</v>
      </c>
      <c r="G31">
        <f>MATCH($B31,F$31:F$34,0)</f>
        <v>2</v>
      </c>
      <c r="H31" t="str">
        <f>IF(ISERROR(G31),"",INDEX($D$31:$D$34,G31))</f>
        <v>Chile</v>
      </c>
      <c r="I31">
        <f>INDEX(E$31:E$34,G31)</f>
        <v>48</v>
      </c>
      <c r="K31">
        <f>E7</f>
        <v>62.5</v>
      </c>
      <c r="L31" s="56">
        <f>IF($C31=0,"",RANK(K31,K$31:K$34)+COUNTIF(K$31:K31,K31)-1)</f>
        <v>1</v>
      </c>
      <c r="M31">
        <f>MATCH($B31,L$31:L$34,0)</f>
        <v>1</v>
      </c>
      <c r="N31" t="str">
        <f>IF(ISERROR(M31),"",INDEX($D$31:$D$34,M31))</f>
        <v>DRC</v>
      </c>
      <c r="O31">
        <f>INDEX(K$31:K$34,M31)</f>
        <v>62.5</v>
      </c>
      <c r="Q31">
        <f>E8</f>
        <v>25.8</v>
      </c>
      <c r="R31" s="56">
        <f>IF($C31=0,"",RANK(Q31,Q$31:Q$34)+COUNTIF(Q$31:Q31,Q31)-1)</f>
        <v>4</v>
      </c>
      <c r="S31">
        <f>MATCH($B31,R$31:R$34,0)</f>
        <v>2</v>
      </c>
      <c r="T31" t="str">
        <f>IF(ISERROR(S31),"",INDEX($D$31:$D$34,S31))</f>
        <v>Chile</v>
      </c>
      <c r="U31">
        <f>INDEX(Q$31:Q$34,S31)</f>
        <v>73.3</v>
      </c>
      <c r="W31">
        <f>E9</f>
        <v>16.7</v>
      </c>
      <c r="X31" s="56">
        <f>IF($C31=0,"",RANK(W31,W$31:W$34)+COUNTIF(W$31:W31,W31)-1)</f>
        <v>4</v>
      </c>
      <c r="Y31">
        <f>MATCH($B31,X$31:X$34,0)</f>
        <v>4</v>
      </c>
      <c r="Z31" t="str">
        <f>IF(ISERROR(Y31),"",INDEX($D$31:$D$34,Y31))</f>
        <v>Bangladesh</v>
      </c>
      <c r="AA31">
        <f>INDEX(W$31:W$34,Y31)</f>
        <v>41.7</v>
      </c>
    </row>
    <row r="32" spans="1:27">
      <c r="B32">
        <v>2</v>
      </c>
      <c r="C32">
        <f t="shared" ref="C32:D34" si="5">B2</f>
        <v>10</v>
      </c>
      <c r="D32" t="str">
        <f t="shared" si="5"/>
        <v>Chile</v>
      </c>
      <c r="E32">
        <f>F6</f>
        <v>48</v>
      </c>
      <c r="F32" s="56">
        <f>IF($C32=0,"",RANK(E32,E$31:E$34)+COUNTIF(E$31:E32,E32)-1)</f>
        <v>1</v>
      </c>
      <c r="G32">
        <f>MATCH($B32,F$31:F$34,0)</f>
        <v>3</v>
      </c>
      <c r="H32" t="str">
        <f>IF(ISERROR(G32),"",INDEX($D$31:$D$34,G32))</f>
        <v>Armenia</v>
      </c>
      <c r="I32">
        <f>INDEX(E$31:E$34,G32)</f>
        <v>43.9</v>
      </c>
      <c r="K32">
        <f>F7</f>
        <v>50</v>
      </c>
      <c r="L32" s="56">
        <f>IF($C32=0,"",RANK(K32,K$31:K$34)+COUNTIF(K$31:K32,K32)-1)</f>
        <v>2</v>
      </c>
      <c r="M32">
        <f>MATCH($B32,L$31:L$34,0)</f>
        <v>2</v>
      </c>
      <c r="N32" t="str">
        <f>IF(ISERROR(M32),"",INDEX($D$31:$D$34,M32))</f>
        <v>Chile</v>
      </c>
      <c r="O32">
        <f>INDEX(K$31:K$34,M32)</f>
        <v>50</v>
      </c>
      <c r="Q32">
        <f>F8</f>
        <v>73.3</v>
      </c>
      <c r="R32" s="56">
        <f>IF($C32=0,"",RANK(Q32,Q$31:Q$34)+COUNTIF(Q$31:Q32,Q32)-1)</f>
        <v>1</v>
      </c>
      <c r="S32">
        <f>MATCH($B32,R$31:R$34,0)</f>
        <v>3</v>
      </c>
      <c r="T32" t="str">
        <f>IF(ISERROR(S32),"",INDEX($D$31:$D$34,S32))</f>
        <v>Armenia</v>
      </c>
      <c r="U32">
        <f>INDEX(Q$31:Q$34,S32)</f>
        <v>53.1</v>
      </c>
      <c r="W32">
        <f>F9</f>
        <v>33.299999999999997</v>
      </c>
      <c r="X32" s="56">
        <f>IF($C32=0,"",RANK(W32,W$31:W$34)+COUNTIF(W$31:W32,W32)-1)</f>
        <v>2</v>
      </c>
      <c r="Y32">
        <f>MATCH($B32,X$31:X$34,0)</f>
        <v>2</v>
      </c>
      <c r="Z32" t="str">
        <f>IF(ISERROR(Y32),"",INDEX($D$31:$D$34,Y32))</f>
        <v>Chile</v>
      </c>
      <c r="AA32">
        <f>INDEX(W$31:W$34,Y32)</f>
        <v>33.299999999999997</v>
      </c>
    </row>
    <row r="33" spans="1:27">
      <c r="B33">
        <v>3</v>
      </c>
      <c r="C33">
        <f t="shared" si="5"/>
        <v>2</v>
      </c>
      <c r="D33" t="str">
        <f t="shared" si="5"/>
        <v>Armenia</v>
      </c>
      <c r="E33">
        <f>G6</f>
        <v>43.9</v>
      </c>
      <c r="F33" s="56">
        <f>IF($C33=0,"",RANK(E33,E$31:E$34)+COUNTIF(E$31:E33,E33)-1)</f>
        <v>2</v>
      </c>
      <c r="G33">
        <f>MATCH($B33,F$31:F$34,0)</f>
        <v>4</v>
      </c>
      <c r="H33" t="str">
        <f>IF(ISERROR(G33),"",INDEX($D$31:$D$34,G33))</f>
        <v>Bangladesh</v>
      </c>
      <c r="I33">
        <f>INDEX(E$31:E$34,G33)</f>
        <v>42.7</v>
      </c>
      <c r="K33">
        <f>G7</f>
        <v>50</v>
      </c>
      <c r="L33" s="56">
        <f>IF($C33=0,"",RANK(K33,K$31:K$34)+COUNTIF(K$31:K33,K33)-1)</f>
        <v>3</v>
      </c>
      <c r="M33">
        <f>MATCH($B33,L$31:L$34,0)</f>
        <v>3</v>
      </c>
      <c r="N33" t="str">
        <f>IF(ISERROR(M33),"",INDEX($D$31:$D$34,M33))</f>
        <v>Armenia</v>
      </c>
      <c r="O33">
        <f>INDEX(K$31:K$34,M33)</f>
        <v>50</v>
      </c>
      <c r="Q33">
        <f>G8</f>
        <v>53.1</v>
      </c>
      <c r="R33" s="56">
        <f>IF($C33=0,"",RANK(Q33,Q$31:Q$34)+COUNTIF(Q$31:Q33,Q33)-1)</f>
        <v>2</v>
      </c>
      <c r="S33">
        <f>MATCH($B33,R$31:R$34,0)</f>
        <v>4</v>
      </c>
      <c r="T33" t="str">
        <f>IF(ISERROR(S33),"",INDEX($D$31:$D$34,S33))</f>
        <v>Bangladesh</v>
      </c>
      <c r="U33">
        <f>INDEX(Q$31:Q$34,S33)</f>
        <v>42.5</v>
      </c>
      <c r="W33">
        <f>G9</f>
        <v>33.299999999999997</v>
      </c>
      <c r="X33" s="56">
        <f>IF($C33=0,"",RANK(W33,W$31:W$34)+COUNTIF(W$31:W33,W33)-1)</f>
        <v>3</v>
      </c>
      <c r="Y33">
        <f>MATCH($B33,X$31:X$34,0)</f>
        <v>3</v>
      </c>
      <c r="Z33" t="str">
        <f>IF(ISERROR(Y33),"",INDEX($D$31:$D$34,Y33))</f>
        <v>Armenia</v>
      </c>
      <c r="AA33">
        <f>INDEX(W$31:W$34,Y33)</f>
        <v>33.299999999999997</v>
      </c>
    </row>
    <row r="34" spans="1:27">
      <c r="B34">
        <v>4</v>
      </c>
      <c r="C34">
        <f t="shared" si="5"/>
        <v>4</v>
      </c>
      <c r="D34" t="str">
        <f t="shared" si="5"/>
        <v>Bangladesh</v>
      </c>
      <c r="E34">
        <f>H6</f>
        <v>42.7</v>
      </c>
      <c r="F34" s="56">
        <f>IF($C34=0,"",RANK(E34,E$31:E$34)+COUNTIF(E$31:E34,E34)-1)</f>
        <v>3</v>
      </c>
      <c r="G34">
        <f>MATCH($B34,F$31:F$34,0)</f>
        <v>1</v>
      </c>
      <c r="H34" t="str">
        <f>IF(ISERROR(G34),"",INDEX($D$31:$D$34,G34))</f>
        <v>DRC</v>
      </c>
      <c r="I34">
        <f>INDEX(E$31:E$34,G34)</f>
        <v>36.799999999999997</v>
      </c>
      <c r="K34">
        <f>H7</f>
        <v>43.8</v>
      </c>
      <c r="L34" s="56">
        <f>IF($C34=0,"",RANK(K34,K$31:K$34)+COUNTIF(K$31:K34,K34)-1)</f>
        <v>4</v>
      </c>
      <c r="M34">
        <f>MATCH($B34,L$31:L$34,0)</f>
        <v>4</v>
      </c>
      <c r="N34" t="str">
        <f>IF(ISERROR(M34),"",INDEX($D$31:$D$34,M34))</f>
        <v>Bangladesh</v>
      </c>
      <c r="O34">
        <f>INDEX(K$31:K$34,M34)</f>
        <v>43.8</v>
      </c>
      <c r="Q34">
        <f>H8</f>
        <v>42.5</v>
      </c>
      <c r="R34" s="56">
        <f>IF($C34=0,"",RANK(Q34,Q$31:Q$34)+COUNTIF(Q$31:Q34,Q34)-1)</f>
        <v>3</v>
      </c>
      <c r="S34">
        <f>MATCH($B34,R$31:R$34,0)</f>
        <v>1</v>
      </c>
      <c r="T34" t="str">
        <f>IF(ISERROR(S34),"",INDEX($D$31:$D$34,S34))</f>
        <v>DRC</v>
      </c>
      <c r="U34">
        <f>INDEX(Q$31:Q$34,S34)</f>
        <v>25.8</v>
      </c>
      <c r="W34">
        <f>H9</f>
        <v>41.7</v>
      </c>
      <c r="X34" s="56">
        <f>IF($C34=0,"",RANK(W34,W$31:W$34)+COUNTIF(W$31:W34,W34)-1)</f>
        <v>1</v>
      </c>
      <c r="Y34">
        <f>MATCH($B34,X$31:X$34,0)</f>
        <v>1</v>
      </c>
      <c r="Z34" t="str">
        <f>IF(ISERROR(Y34),"",INDEX($D$31:$D$34,Y34))</f>
        <v>DRC</v>
      </c>
      <c r="AA34">
        <f>INDEX(W$31:W$34,Y34)</f>
        <v>16.7</v>
      </c>
    </row>
    <row r="38" spans="1:27">
      <c r="A38" s="1" t="s">
        <v>1168</v>
      </c>
    </row>
    <row r="39" spans="1:27">
      <c r="A39" s="1" t="s">
        <v>1170</v>
      </c>
      <c r="B39">
        <f ca="1">uxb_settings!B54</f>
        <v>1</v>
      </c>
    </row>
    <row r="40" spans="1:27">
      <c r="A40" s="1"/>
      <c r="E40">
        <v>2009</v>
      </c>
      <c r="F40">
        <v>2008</v>
      </c>
      <c r="G40">
        <v>2007</v>
      </c>
    </row>
    <row r="41" spans="1:27">
      <c r="B41" s="118" t="s">
        <v>1169</v>
      </c>
    </row>
    <row r="42" spans="1:27">
      <c r="A42" t="str">
        <f ca="1">tblIndicators!C2</f>
        <v>OVERALL</v>
      </c>
      <c r="B42">
        <f ca="1">MATCH(A42,scores_2009!C$3:C$28,0)</f>
        <v>1</v>
      </c>
      <c r="D42" t="str">
        <f ca="1">tblIndicators!F2</f>
        <v>Overall score</v>
      </c>
      <c r="E42">
        <f t="shared" ref="E42:E58" ca="1" si="6">INDEX(norm_data,$B42,$B$39)</f>
        <v>30.8</v>
      </c>
      <c r="F42">
        <f t="shared" ref="F42:F58" ca="1" si="7">INDEX(norm_data2008,$B42,$B$39)</f>
        <v>28.5</v>
      </c>
      <c r="G42">
        <f t="shared" ref="G42:G58" ca="1" si="8">INDEX(norm_data2007,$B42,$B$39)</f>
        <v>26.9</v>
      </c>
      <c r="I42" s="59">
        <f>IF(E42&gt;=0,ROUND(E42,1),"-")</f>
        <v>30.8</v>
      </c>
      <c r="J42" s="59">
        <f>IF(F42&gt;=0,ROUND(F42,1),"-")</f>
        <v>28.5</v>
      </c>
      <c r="K42" s="59">
        <f>IF(G42&gt;=0,ROUND(G42,1),"-")</f>
        <v>26.9</v>
      </c>
    </row>
    <row r="43" spans="1:27">
      <c r="A43" t="str">
        <f ca="1">tblIndicators!C3</f>
        <v>RF00</v>
      </c>
      <c r="B43">
        <f ca="1">MATCH(A43,scores_2009!C$3:C$28,0)</f>
        <v>2</v>
      </c>
      <c r="D43" t="str">
        <f ca="1">tblIndicators!F3</f>
        <v xml:space="preserve">Regulatory Framework </v>
      </c>
      <c r="E43">
        <f t="shared" ca="1" si="6"/>
        <v>25</v>
      </c>
      <c r="F43">
        <f t="shared" ca="1" si="7"/>
        <v>18.8</v>
      </c>
      <c r="G43">
        <f t="shared" ca="1" si="8"/>
        <v>18.8</v>
      </c>
      <c r="I43" s="59">
        <f t="shared" ref="I43:I58" si="9">IF(E43&gt;=0,ROUND(E43,1),"-")</f>
        <v>25</v>
      </c>
      <c r="J43" s="59">
        <f t="shared" ref="J43:J58" si="10">IF(F43&gt;=0,ROUND(F43,1),"-")</f>
        <v>18.8</v>
      </c>
      <c r="K43" s="59">
        <f t="shared" ref="K43:K58" si="11">IF(G43&gt;=0,ROUND(G43,1),"-")</f>
        <v>18.8</v>
      </c>
    </row>
    <row r="44" spans="1:27">
      <c r="A44" t="str">
        <f ca="1">tblIndicators!C4</f>
        <v>RF01</v>
      </c>
      <c r="B44">
        <f ca="1">MATCH(A44,scores_2009!C$3:C$28,0)</f>
        <v>10</v>
      </c>
      <c r="D44" t="str">
        <f ca="1">tblIndicators!F4</f>
        <v>Regulation of microcredit operations</v>
      </c>
      <c r="E44">
        <f t="shared" ca="1" si="6"/>
        <v>1</v>
      </c>
      <c r="F44">
        <f t="shared" ca="1" si="7"/>
        <v>1</v>
      </c>
      <c r="G44">
        <f t="shared" ca="1" si="8"/>
        <v>1</v>
      </c>
      <c r="I44" s="59">
        <f t="shared" si="9"/>
        <v>1</v>
      </c>
      <c r="J44" s="59">
        <f t="shared" si="10"/>
        <v>1</v>
      </c>
      <c r="K44" s="59">
        <f t="shared" si="11"/>
        <v>1</v>
      </c>
    </row>
    <row r="45" spans="1:27">
      <c r="A45" t="str">
        <f ca="1">tblIndicators!C5</f>
        <v>RF02</v>
      </c>
      <c r="B45">
        <f ca="1">MATCH(A45,scores_2009!C$3:C$28,0)</f>
        <v>11</v>
      </c>
      <c r="D45" t="str">
        <f ca="1">tblIndicators!F5</f>
        <v>Formation and operation of regulated, specialised MFIs</v>
      </c>
      <c r="E45">
        <f t="shared" ca="1" si="6"/>
        <v>1</v>
      </c>
      <c r="F45">
        <f t="shared" ca="1" si="7"/>
        <v>1</v>
      </c>
      <c r="G45">
        <f t="shared" ca="1" si="8"/>
        <v>1</v>
      </c>
      <c r="I45" s="59">
        <f t="shared" si="9"/>
        <v>1</v>
      </c>
      <c r="J45" s="59">
        <f t="shared" si="10"/>
        <v>1</v>
      </c>
      <c r="K45" s="59">
        <f t="shared" si="11"/>
        <v>1</v>
      </c>
    </row>
    <row r="46" spans="1:27">
      <c r="A46" t="str">
        <f ca="1">tblIndicators!C6</f>
        <v>RF03</v>
      </c>
      <c r="B46">
        <f ca="1">MATCH(A46,scores_2009!C$3:C$28,0)</f>
        <v>12</v>
      </c>
      <c r="D46" t="str">
        <f ca="1">tblIndicators!F6</f>
        <v>Formation and operation of non-regulated MFIs</v>
      </c>
      <c r="E46">
        <f t="shared" ca="1" si="6"/>
        <v>1</v>
      </c>
      <c r="F46">
        <f t="shared" ca="1" si="7"/>
        <v>1</v>
      </c>
      <c r="G46">
        <f t="shared" ca="1" si="8"/>
        <v>1</v>
      </c>
      <c r="I46" s="59">
        <f t="shared" si="9"/>
        <v>1</v>
      </c>
      <c r="J46" s="59">
        <f t="shared" si="10"/>
        <v>1</v>
      </c>
      <c r="K46" s="59">
        <f t="shared" si="11"/>
        <v>1</v>
      </c>
    </row>
    <row r="47" spans="1:27">
      <c r="A47" t="str">
        <f ca="1">tblIndicators!C7</f>
        <v>RF04</v>
      </c>
      <c r="B47">
        <f ca="1">MATCH(A47,scores_2009!C$3:C$28,0)</f>
        <v>13</v>
      </c>
      <c r="D47" t="str">
        <f ca="1">tblIndicators!F7</f>
        <v>Regulatory and examination capacity</v>
      </c>
      <c r="E47">
        <f t="shared" ca="1" si="6"/>
        <v>1</v>
      </c>
      <c r="F47">
        <f t="shared" ca="1" si="7"/>
        <v>0</v>
      </c>
      <c r="G47">
        <f t="shared" ca="1" si="8"/>
        <v>0</v>
      </c>
      <c r="I47" s="59">
        <f t="shared" si="9"/>
        <v>1</v>
      </c>
      <c r="J47" s="59">
        <f t="shared" si="10"/>
        <v>0</v>
      </c>
      <c r="K47" s="59">
        <f t="shared" si="11"/>
        <v>0</v>
      </c>
    </row>
    <row r="48" spans="1:27">
      <c r="A48" t="str">
        <f ca="1">tblIndicators!C8</f>
        <v>IC00</v>
      </c>
      <c r="B48">
        <f ca="1">MATCH(A48,scores_2009!C$3:C$28,0)</f>
        <v>3</v>
      </c>
      <c r="D48" t="str">
        <f ca="1">tblIndicators!F8</f>
        <v>Investment Climate</v>
      </c>
      <c r="E48">
        <f t="shared" ca="1" si="6"/>
        <v>37.5</v>
      </c>
      <c r="F48">
        <f t="shared" ca="1" si="7"/>
        <v>38.299999999999997</v>
      </c>
      <c r="G48">
        <f t="shared" ca="1" si="8"/>
        <v>46.7</v>
      </c>
      <c r="I48" s="59">
        <f t="shared" si="9"/>
        <v>37.5</v>
      </c>
      <c r="J48" s="59">
        <f t="shared" si="10"/>
        <v>38.299999999999997</v>
      </c>
      <c r="K48" s="59">
        <f t="shared" si="11"/>
        <v>46.7</v>
      </c>
    </row>
    <row r="49" spans="1:11">
      <c r="A49" t="str">
        <f ca="1">tblIndicators!C9</f>
        <v>IC01</v>
      </c>
      <c r="B49">
        <f ca="1">MATCH(A49,scores_2009!C$3:C$28,0)</f>
        <v>15</v>
      </c>
      <c r="D49" t="str">
        <f ca="1">tblIndicators!F9</f>
        <v>Political stability</v>
      </c>
      <c r="E49">
        <f t="shared" ca="1" si="6"/>
        <v>2</v>
      </c>
      <c r="F49">
        <f t="shared" ca="1" si="7"/>
        <v>2.2000000000000002</v>
      </c>
      <c r="G49">
        <f t="shared" ca="1" si="8"/>
        <v>2.2000000000000002</v>
      </c>
      <c r="I49" s="59">
        <f t="shared" si="9"/>
        <v>2</v>
      </c>
      <c r="J49" s="59">
        <f t="shared" si="10"/>
        <v>2.2000000000000002</v>
      </c>
      <c r="K49" s="59">
        <f t="shared" si="11"/>
        <v>2.2000000000000002</v>
      </c>
    </row>
    <row r="50" spans="1:11">
      <c r="A50" t="str">
        <f ca="1">tblIndicators!C10</f>
        <v>IC02</v>
      </c>
      <c r="B50">
        <f ca="1">MATCH(A50,scores_2009!C$3:C$28,0)</f>
        <v>16</v>
      </c>
      <c r="D50" t="str">
        <f ca="1">tblIndicators!F10</f>
        <v>Capital market development</v>
      </c>
      <c r="E50">
        <f t="shared" ca="1" si="6"/>
        <v>2</v>
      </c>
      <c r="F50">
        <f t="shared" ca="1" si="7"/>
        <v>2</v>
      </c>
      <c r="G50">
        <f t="shared" ca="1" si="8"/>
        <v>2</v>
      </c>
      <c r="I50" s="59">
        <f t="shared" si="9"/>
        <v>2</v>
      </c>
      <c r="J50" s="59">
        <f t="shared" si="10"/>
        <v>2</v>
      </c>
      <c r="K50" s="59">
        <f t="shared" si="11"/>
        <v>2</v>
      </c>
    </row>
    <row r="51" spans="1:11">
      <c r="A51" t="str">
        <f ca="1">tblIndicators!C11</f>
        <v>IC03</v>
      </c>
      <c r="B51">
        <f ca="1">MATCH(A51,scores_2009!C$3:C$28,0)</f>
        <v>17</v>
      </c>
      <c r="D51" t="str">
        <f ca="1">tblIndicators!F11</f>
        <v>Judicial system</v>
      </c>
      <c r="E51">
        <f t="shared" ca="1" si="6"/>
        <v>1</v>
      </c>
      <c r="F51">
        <f t="shared" ca="1" si="7"/>
        <v>1</v>
      </c>
      <c r="G51">
        <f t="shared" ca="1" si="8"/>
        <v>1</v>
      </c>
      <c r="I51" s="59">
        <f t="shared" si="9"/>
        <v>1</v>
      </c>
      <c r="J51" s="59">
        <f t="shared" si="10"/>
        <v>1</v>
      </c>
      <c r="K51" s="59">
        <f t="shared" si="11"/>
        <v>1</v>
      </c>
    </row>
    <row r="52" spans="1:11">
      <c r="A52" t="str">
        <f ca="1">tblIndicators!C12</f>
        <v>IC04</v>
      </c>
      <c r="B52">
        <f ca="1">MATCH(A52,scores_2009!C$3:C$28,0)</f>
        <v>18</v>
      </c>
      <c r="D52" t="str">
        <f ca="1">tblIndicators!F12</f>
        <v>Accounting standards</v>
      </c>
      <c r="E52">
        <f t="shared" ca="1" si="6"/>
        <v>2</v>
      </c>
      <c r="F52">
        <f t="shared" ca="1" si="7"/>
        <v>2</v>
      </c>
      <c r="G52">
        <f t="shared" ca="1" si="8"/>
        <v>3</v>
      </c>
      <c r="I52" s="59">
        <f t="shared" si="9"/>
        <v>2</v>
      </c>
      <c r="J52" s="59">
        <f t="shared" si="10"/>
        <v>2</v>
      </c>
      <c r="K52" s="59">
        <f t="shared" si="11"/>
        <v>3</v>
      </c>
    </row>
    <row r="53" spans="1:11">
      <c r="A53" t="str">
        <f ca="1">tblIndicators!C13</f>
        <v>IC05</v>
      </c>
      <c r="B53">
        <f ca="1">MATCH(A53,scores_2009!C$3:C$28,0)</f>
        <v>19</v>
      </c>
      <c r="D53" t="str">
        <f ca="1">tblIndicators!F13</f>
        <v>Governance standards</v>
      </c>
      <c r="E53">
        <f t="shared" ca="1" si="6"/>
        <v>1</v>
      </c>
      <c r="F53">
        <f t="shared" ca="1" si="7"/>
        <v>1</v>
      </c>
      <c r="G53">
        <f t="shared" ca="1" si="8"/>
        <v>2</v>
      </c>
      <c r="I53" s="59">
        <f t="shared" si="9"/>
        <v>1</v>
      </c>
      <c r="J53" s="59">
        <f t="shared" si="10"/>
        <v>1</v>
      </c>
      <c r="K53" s="59">
        <f t="shared" si="11"/>
        <v>2</v>
      </c>
    </row>
    <row r="54" spans="1:11">
      <c r="A54" t="str">
        <f ca="1">tblIndicators!C14</f>
        <v>IC06</v>
      </c>
      <c r="B54">
        <f ca="1">MATCH(A54,scores_2009!C$3:C$28,0)</f>
        <v>20</v>
      </c>
      <c r="D54" t="str">
        <f ca="1">tblIndicators!F14</f>
        <v>MFI transparency</v>
      </c>
      <c r="E54">
        <f t="shared" ca="1" si="6"/>
        <v>1</v>
      </c>
      <c r="F54">
        <f t="shared" ca="1" si="7"/>
        <v>1</v>
      </c>
      <c r="G54">
        <f t="shared" ca="1" si="8"/>
        <v>1</v>
      </c>
      <c r="I54" s="59">
        <f t="shared" si="9"/>
        <v>1</v>
      </c>
      <c r="J54" s="59">
        <f t="shared" si="10"/>
        <v>1</v>
      </c>
      <c r="K54" s="59">
        <f t="shared" si="11"/>
        <v>1</v>
      </c>
    </row>
    <row r="55" spans="1:11">
      <c r="A55" t="str">
        <f ca="1">tblIndicators!C15</f>
        <v>ID00</v>
      </c>
      <c r="B55">
        <f ca="1">MATCH(A55,scores_2009!C$3:C$28,0)</f>
        <v>4</v>
      </c>
      <c r="D55" t="str">
        <f ca="1">tblIndicators!F15</f>
        <v>Institutional Development</v>
      </c>
      <c r="E55">
        <f t="shared" ca="1" si="6"/>
        <v>33.299999999999997</v>
      </c>
      <c r="F55">
        <f t="shared" ca="1" si="7"/>
        <v>33.299999999999997</v>
      </c>
      <c r="G55">
        <f t="shared" ca="1" si="8"/>
        <v>25</v>
      </c>
      <c r="I55" s="59">
        <f t="shared" si="9"/>
        <v>33.299999999999997</v>
      </c>
      <c r="J55" s="59">
        <f t="shared" si="10"/>
        <v>33.299999999999997</v>
      </c>
      <c r="K55" s="59">
        <f t="shared" si="11"/>
        <v>25</v>
      </c>
    </row>
    <row r="56" spans="1:11">
      <c r="A56" t="str">
        <f ca="1">tblIndicators!C16</f>
        <v>ID01</v>
      </c>
      <c r="B56">
        <f ca="1">MATCH(A56,scores_2009!C$3:C$28,0)</f>
        <v>22</v>
      </c>
      <c r="D56" t="str">
        <f ca="1">tblIndicators!F16</f>
        <v>Range of MFI Services</v>
      </c>
      <c r="E56">
        <f t="shared" ca="1" si="6"/>
        <v>1</v>
      </c>
      <c r="F56">
        <f t="shared" ca="1" si="7"/>
        <v>1</v>
      </c>
      <c r="G56">
        <f t="shared" ca="1" si="8"/>
        <v>1</v>
      </c>
      <c r="I56" s="59">
        <f t="shared" si="9"/>
        <v>1</v>
      </c>
      <c r="J56" s="59">
        <f t="shared" si="10"/>
        <v>1</v>
      </c>
      <c r="K56" s="59">
        <f t="shared" si="11"/>
        <v>1</v>
      </c>
    </row>
    <row r="57" spans="1:11">
      <c r="A57" t="str">
        <f ca="1">tblIndicators!C17</f>
        <v>ID02</v>
      </c>
      <c r="B57">
        <f ca="1">MATCH(A57,scores_2009!C$3:C$28,0)</f>
        <v>23</v>
      </c>
      <c r="D57" t="str">
        <f ca="1">tblIndicators!F17</f>
        <v>Credit bureaus</v>
      </c>
      <c r="E57">
        <f t="shared" ca="1" si="6"/>
        <v>2</v>
      </c>
      <c r="F57">
        <f t="shared" ca="1" si="7"/>
        <v>2</v>
      </c>
      <c r="G57">
        <f t="shared" ca="1" si="8"/>
        <v>2</v>
      </c>
      <c r="I57" s="59">
        <f t="shared" si="9"/>
        <v>2</v>
      </c>
      <c r="J57" s="59">
        <f t="shared" si="10"/>
        <v>2</v>
      </c>
      <c r="K57" s="59">
        <f t="shared" si="11"/>
        <v>2</v>
      </c>
    </row>
    <row r="58" spans="1:11">
      <c r="A58" t="str">
        <f ca="1">tblIndicators!C18</f>
        <v>ID03</v>
      </c>
      <c r="B58">
        <f ca="1">MATCH(A58,scores_2009!C$3:C$28,0)</f>
        <v>24</v>
      </c>
      <c r="D58" t="str">
        <f ca="1">tblIndicators!F18</f>
        <v>Level of competition</v>
      </c>
      <c r="E58">
        <f t="shared" ca="1" si="6"/>
        <v>1</v>
      </c>
      <c r="F58">
        <f t="shared" ca="1" si="7"/>
        <v>1</v>
      </c>
      <c r="G58">
        <f t="shared" ca="1" si="8"/>
        <v>0</v>
      </c>
      <c r="I58" s="59">
        <f t="shared" si="9"/>
        <v>1</v>
      </c>
      <c r="J58" s="59">
        <f t="shared" si="10"/>
        <v>1</v>
      </c>
      <c r="K58" s="59">
        <f t="shared" si="11"/>
        <v>0</v>
      </c>
    </row>
  </sheetData>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8"/>
  <dimension ref="A1:R36"/>
  <sheetViews>
    <sheetView showGridLines="0" showRowColHeaders="0" zoomScaleNormal="100" workbookViewId="0"/>
  </sheetViews>
  <sheetFormatPr defaultRowHeight="12.75"/>
  <cols>
    <col min="1" max="1" width="1.42578125" customWidth="1"/>
    <col min="2" max="2" width="30.7109375" customWidth="1"/>
    <col min="3" max="3" width="1.140625" customWidth="1"/>
    <col min="4" max="4" width="2.28515625" customWidth="1"/>
    <col min="5" max="5" width="3.5703125" hidden="1" customWidth="1"/>
    <col min="6" max="6" width="4.140625" bestFit="1" customWidth="1"/>
    <col min="7" max="7" width="21.140625" customWidth="1"/>
    <col min="8" max="8" width="7.7109375" customWidth="1"/>
    <col min="9" max="9" width="3.140625" customWidth="1"/>
    <col min="10" max="10" width="0" hidden="1" customWidth="1"/>
    <col min="11" max="11" width="3.85546875" bestFit="1" customWidth="1"/>
    <col min="12" max="12" width="21.7109375" customWidth="1"/>
    <col min="13" max="13" width="6.85546875" customWidth="1"/>
    <col min="14" max="14" width="3.42578125" customWidth="1"/>
    <col min="15" max="15" width="9.140625" hidden="1" customWidth="1"/>
    <col min="16" max="16" width="3.85546875" bestFit="1" customWidth="1"/>
    <col min="17" max="17" width="23" customWidth="1"/>
    <col min="18" max="18" width="6.85546875" customWidth="1"/>
  </cols>
  <sheetData>
    <row r="1" spans="1:18" ht="21">
      <c r="A1" s="53" t="s">
        <v>1092</v>
      </c>
      <c r="B1" s="24"/>
      <c r="C1" s="25"/>
      <c r="F1" s="213" t="str">
        <f ca="1">uxb_settings!B26</f>
        <v>Overall score</v>
      </c>
      <c r="G1" s="213"/>
      <c r="H1" s="214"/>
      <c r="I1" s="214"/>
      <c r="J1" s="214"/>
      <c r="K1" s="214"/>
      <c r="L1" s="214"/>
      <c r="M1" s="214"/>
      <c r="N1" s="214"/>
    </row>
    <row r="2" spans="1:18">
      <c r="A2" s="26"/>
      <c r="B2" s="33" t="s">
        <v>1093</v>
      </c>
      <c r="C2" s="27"/>
    </row>
    <row r="3" spans="1:18">
      <c r="A3" s="26"/>
      <c r="B3" s="26"/>
      <c r="C3" s="27"/>
      <c r="E3" s="86" t="str">
        <f ca="1">i_rank_i!AS6</f>
        <v>DS</v>
      </c>
      <c r="F3" s="86"/>
      <c r="G3" s="87" t="s">
        <v>729</v>
      </c>
      <c r="H3" s="86" t="str">
        <f ca="1">i_rank_i!AV6</f>
        <v>Score</v>
      </c>
      <c r="K3" s="86"/>
      <c r="L3" s="87"/>
      <c r="M3" s="86"/>
      <c r="P3" s="86"/>
      <c r="Q3" s="87"/>
      <c r="R3" s="86"/>
    </row>
    <row r="4" spans="1:18">
      <c r="A4" s="26"/>
      <c r="B4" s="26"/>
      <c r="C4" s="27"/>
      <c r="E4" s="88">
        <f ca="1">i_rank_i!CC7</f>
        <v>2</v>
      </c>
      <c r="F4" s="117">
        <f ca="1">i_rank_i!CD7</f>
        <v>1</v>
      </c>
      <c r="G4" s="114" t="str">
        <f ca="1">i_rank_i!CE7</f>
        <v>Peru</v>
      </c>
      <c r="H4" s="115">
        <f ca="1">i_rank_i!CF7</f>
        <v>73.8</v>
      </c>
      <c r="I4" s="90"/>
      <c r="J4" s="89">
        <f ca="1">i_rank_i!CC27</f>
        <v>2</v>
      </c>
      <c r="K4" s="117">
        <f ca="1">i_rank_i!CD27</f>
        <v>21</v>
      </c>
      <c r="L4" s="114" t="str">
        <f ca="1">i_rank_i!CE27</f>
        <v>Mexico</v>
      </c>
      <c r="M4" s="115">
        <f ca="1">i_rank_i!CF27</f>
        <v>47.3</v>
      </c>
      <c r="N4" s="90"/>
      <c r="O4" s="89">
        <f ca="1">i_rank_i!CC47</f>
        <v>2</v>
      </c>
      <c r="P4" s="117">
        <f ca="1">i_rank_i!CD47</f>
        <v>41</v>
      </c>
      <c r="Q4" s="114" t="str">
        <f ca="1">i_rank_i!CE47</f>
        <v>Cameroon</v>
      </c>
      <c r="R4" s="115">
        <f ca="1">i_rank_i!CF47</f>
        <v>31.6</v>
      </c>
    </row>
    <row r="5" spans="1:18">
      <c r="A5" s="26"/>
      <c r="B5" s="26"/>
      <c r="C5" s="27"/>
      <c r="E5" s="88">
        <f ca="1">i_rank_i!CC8</f>
        <v>2</v>
      </c>
      <c r="F5" s="117">
        <f ca="1">i_rank_i!CD8</f>
        <v>2</v>
      </c>
      <c r="G5" s="114" t="str">
        <f ca="1">i_rank_i!CE8</f>
        <v>Bolivia</v>
      </c>
      <c r="H5" s="115">
        <f ca="1">i_rank_i!CF8</f>
        <v>71.7</v>
      </c>
      <c r="I5" s="90"/>
      <c r="J5" s="89">
        <f ca="1">i_rank_i!CC28</f>
        <v>2</v>
      </c>
      <c r="K5" s="117">
        <f ca="1">i_rank_i!CD28</f>
        <v>22</v>
      </c>
      <c r="L5" s="114" t="str">
        <f ca="1">i_rank_i!CE28</f>
        <v>Dominican Republic</v>
      </c>
      <c r="M5" s="115">
        <f ca="1">i_rank_i!CF28</f>
        <v>47</v>
      </c>
      <c r="N5" s="90"/>
      <c r="O5" s="89">
        <f ca="1">i_rank_i!CC48</f>
        <v>2</v>
      </c>
      <c r="P5" s="117">
        <f ca="1">i_rank_i!CD48</f>
        <v>42</v>
      </c>
      <c r="Q5" s="114" t="str">
        <f ca="1">i_rank_i!CE48</f>
        <v>Ethiopia</v>
      </c>
      <c r="R5" s="115">
        <f ca="1">i_rank_i!CF48</f>
        <v>31.3</v>
      </c>
    </row>
    <row r="6" spans="1:18">
      <c r="A6" s="26"/>
      <c r="B6" s="26"/>
      <c r="C6" s="27"/>
      <c r="E6" s="88">
        <f ca="1">i_rank_i!CC9</f>
        <v>2</v>
      </c>
      <c r="F6" s="117">
        <f ca="1">i_rank_i!CD9</f>
        <v>3</v>
      </c>
      <c r="G6" s="114" t="str">
        <f ca="1">i_rank_i!CE9</f>
        <v>Philippines</v>
      </c>
      <c r="H6" s="115">
        <f ca="1">i_rank_i!CF9</f>
        <v>68.400000000000006</v>
      </c>
      <c r="I6" s="90"/>
      <c r="J6" s="89">
        <f ca="1">i_rank_i!CC29</f>
        <v>2</v>
      </c>
      <c r="K6" s="117">
        <f ca="1">i_rank_i!CD29</f>
        <v>23</v>
      </c>
      <c r="L6" s="114" t="str">
        <f ca="1">i_rank_i!CE29</f>
        <v>Georgia</v>
      </c>
      <c r="M6" s="115">
        <f ca="1">i_rank_i!CF29</f>
        <v>45.1</v>
      </c>
      <c r="N6" s="90"/>
      <c r="O6" s="89">
        <f ca="1">i_rank_i!CC49</f>
        <v>2</v>
      </c>
      <c r="P6" s="117">
        <f ca="1">i_rank_i!CD49</f>
        <v>43</v>
      </c>
      <c r="Q6" s="114" t="str">
        <f ca="1">i_rank_i!CE49</f>
        <v>Argentina</v>
      </c>
      <c r="R6" s="115">
        <f ca="1">i_rank_i!CF49</f>
        <v>30.8</v>
      </c>
    </row>
    <row r="7" spans="1:18">
      <c r="A7" s="26"/>
      <c r="B7" s="33" t="s">
        <v>1084</v>
      </c>
      <c r="C7" s="27"/>
      <c r="E7" s="88">
        <f ca="1">i_rank_i!CC10</f>
        <v>2</v>
      </c>
      <c r="F7" s="117">
        <f ca="1">i_rank_i!CD10</f>
        <v>4</v>
      </c>
      <c r="G7" s="114" t="str">
        <f ca="1">i_rank_i!CE10</f>
        <v>India</v>
      </c>
      <c r="H7" s="115">
        <f ca="1">i_rank_i!CF10</f>
        <v>62.1</v>
      </c>
      <c r="I7" s="90"/>
      <c r="J7" s="89">
        <f ca="1">i_rank_i!CC30</f>
        <v>2</v>
      </c>
      <c r="K7" s="117">
        <f ca="1">i_rank_i!CD30</f>
        <v>24</v>
      </c>
      <c r="L7" s="114" t="str">
        <f ca="1">i_rank_i!CE30</f>
        <v>Brazil</v>
      </c>
      <c r="M7" s="115">
        <f ca="1">i_rank_i!CF30</f>
        <v>44</v>
      </c>
      <c r="N7" s="90"/>
      <c r="O7" s="89">
        <f ca="1">i_rank_i!CC50</f>
        <v>2</v>
      </c>
      <c r="P7" s="117" t="str">
        <f ca="1">i_rank_i!CD50</f>
        <v>=44</v>
      </c>
      <c r="Q7" s="114" t="str">
        <f ca="1">i_rank_i!CE50</f>
        <v>Morocco</v>
      </c>
      <c r="R7" s="115">
        <f ca="1">i_rank_i!CF50</f>
        <v>30.3</v>
      </c>
    </row>
    <row r="8" spans="1:18">
      <c r="A8" s="26"/>
      <c r="B8" s="26"/>
      <c r="C8" s="27"/>
      <c r="E8" s="88">
        <f ca="1">i_rank_i!CC11</f>
        <v>2</v>
      </c>
      <c r="F8" s="117">
        <f ca="1">i_rank_i!CD11</f>
        <v>5</v>
      </c>
      <c r="G8" s="114" t="str">
        <f ca="1">i_rank_i!CE11</f>
        <v>Ghana</v>
      </c>
      <c r="H8" s="115">
        <f ca="1">i_rank_i!CF11</f>
        <v>60.9</v>
      </c>
      <c r="I8" s="90"/>
      <c r="J8" s="89">
        <f ca="1">i_rank_i!CC31</f>
        <v>2</v>
      </c>
      <c r="K8" s="117">
        <f ca="1">i_rank_i!CD31</f>
        <v>25</v>
      </c>
      <c r="L8" s="114" t="str">
        <f ca="1">i_rank_i!CE31</f>
        <v>Armenia</v>
      </c>
      <c r="M8" s="115">
        <f ca="1">i_rank_i!CF31</f>
        <v>43.9</v>
      </c>
      <c r="N8" s="90"/>
      <c r="O8" s="89">
        <f ca="1">i_rank_i!CC51</f>
        <v>2</v>
      </c>
      <c r="P8" s="117" t="str">
        <f ca="1">i_rank_i!CD51</f>
        <v>=44</v>
      </c>
      <c r="Q8" s="114" t="str">
        <f ca="1">i_rank_i!CE51</f>
        <v>Turkey</v>
      </c>
      <c r="R8" s="115">
        <f ca="1">i_rank_i!CF51</f>
        <v>30.3</v>
      </c>
    </row>
    <row r="9" spans="1:18">
      <c r="A9" s="26"/>
      <c r="B9" s="26"/>
      <c r="C9" s="27"/>
      <c r="E9" s="88">
        <f ca="1">i_rank_i!CC12</f>
        <v>2</v>
      </c>
      <c r="F9" s="117">
        <f ca="1">i_rank_i!CD12</f>
        <v>6</v>
      </c>
      <c r="G9" s="114" t="str">
        <f ca="1">i_rank_i!CE12</f>
        <v>Ecuador</v>
      </c>
      <c r="H9" s="115">
        <f ca="1">i_rank_i!CF12</f>
        <v>59.7</v>
      </c>
      <c r="I9" s="90"/>
      <c r="J9" s="89">
        <f ca="1">i_rank_i!CC32</f>
        <v>2</v>
      </c>
      <c r="K9" s="117">
        <f ca="1">i_rank_i!CD32</f>
        <v>26</v>
      </c>
      <c r="L9" s="114" t="str">
        <f ca="1">i_rank_i!CE32</f>
        <v>Bosnia</v>
      </c>
      <c r="M9" s="115">
        <f ca="1">i_rank_i!CF32</f>
        <v>43.1</v>
      </c>
      <c r="N9" s="90"/>
      <c r="O9" s="89">
        <f ca="1">i_rank_i!CC52</f>
        <v>2</v>
      </c>
      <c r="P9" s="117" t="str">
        <f ca="1">i_rank_i!CD52</f>
        <v>=46</v>
      </c>
      <c r="Q9" s="114" t="str">
        <f ca="1">i_rank_i!CE52</f>
        <v>Mongolia</v>
      </c>
      <c r="R9" s="115">
        <f ca="1">i_rank_i!CF52</f>
        <v>30</v>
      </c>
    </row>
    <row r="10" spans="1:18">
      <c r="A10" s="26"/>
      <c r="B10" s="33" t="s">
        <v>1031</v>
      </c>
      <c r="C10" s="27"/>
      <c r="E10" s="88">
        <f ca="1">i_rank_i!CC13</f>
        <v>2</v>
      </c>
      <c r="F10" s="117">
        <f ca="1">i_rank_i!CD13</f>
        <v>7</v>
      </c>
      <c r="G10" s="114" t="str">
        <f ca="1">i_rank_i!CE13</f>
        <v>Nicaragua</v>
      </c>
      <c r="H10" s="115">
        <f ca="1">i_rank_i!CF13</f>
        <v>58.7</v>
      </c>
      <c r="I10" s="90"/>
      <c r="J10" s="89">
        <f ca="1">i_rank_i!CC33</f>
        <v>2</v>
      </c>
      <c r="K10" s="117">
        <f ca="1">i_rank_i!CD33</f>
        <v>27</v>
      </c>
      <c r="L10" s="114" t="str">
        <f ca="1">i_rank_i!CE33</f>
        <v>Bangladesh</v>
      </c>
      <c r="M10" s="115">
        <f ca="1">i_rank_i!CF33</f>
        <v>42.7</v>
      </c>
      <c r="N10" s="90"/>
      <c r="O10" s="89">
        <f ca="1">i_rank_i!CC53</f>
        <v>2</v>
      </c>
      <c r="P10" s="117" t="str">
        <f ca="1">i_rank_i!CD53</f>
        <v>=46</v>
      </c>
      <c r="Q10" s="114" t="str">
        <f ca="1">i_rank_i!CE53</f>
        <v>Nepal</v>
      </c>
      <c r="R10" s="115">
        <f ca="1">i_rank_i!CF53</f>
        <v>30</v>
      </c>
    </row>
    <row r="11" spans="1:18">
      <c r="A11" s="26"/>
      <c r="B11" s="26"/>
      <c r="C11" s="27"/>
      <c r="E11" s="88">
        <f ca="1">i_rank_i!CC14</f>
        <v>2</v>
      </c>
      <c r="F11" s="117">
        <f ca="1">i_rank_i!CD14</f>
        <v>8</v>
      </c>
      <c r="G11" s="114" t="str">
        <f ca="1">i_rank_i!CE14</f>
        <v>Colombia</v>
      </c>
      <c r="H11" s="115">
        <f ca="1">i_rank_i!CF14</f>
        <v>58.6</v>
      </c>
      <c r="I11" s="90"/>
      <c r="J11" s="89">
        <f ca="1">i_rank_i!CC34</f>
        <v>2</v>
      </c>
      <c r="K11" s="117">
        <f ca="1">i_rank_i!CD34</f>
        <v>28</v>
      </c>
      <c r="L11" s="114" t="str">
        <f ca="1">i_rank_i!CE34</f>
        <v>Costa Rica</v>
      </c>
      <c r="M11" s="115">
        <f ca="1">i_rank_i!CF34</f>
        <v>42.5</v>
      </c>
      <c r="N11" s="90"/>
      <c r="O11" s="89">
        <f ca="1">i_rank_i!CC54</f>
        <v>2</v>
      </c>
      <c r="P11" s="117">
        <f ca="1">i_rank_i!CD54</f>
        <v>48</v>
      </c>
      <c r="Q11" s="114" t="str">
        <f ca="1">i_rank_i!CE54</f>
        <v>Lebanon</v>
      </c>
      <c r="R11" s="115">
        <f ca="1">i_rank_i!CF54</f>
        <v>29.3</v>
      </c>
    </row>
    <row r="12" spans="1:18">
      <c r="A12" s="26"/>
      <c r="B12" s="26"/>
      <c r="C12" s="27"/>
      <c r="E12" s="88">
        <f ca="1">i_rank_i!CC15</f>
        <v>2</v>
      </c>
      <c r="F12" s="117" t="str">
        <f ca="1">i_rank_i!CD15</f>
        <v>=9</v>
      </c>
      <c r="G12" s="114" t="str">
        <f ca="1">i_rank_i!CE15</f>
        <v>El Salvador</v>
      </c>
      <c r="H12" s="115">
        <f ca="1">i_rank_i!CF15</f>
        <v>57.5</v>
      </c>
      <c r="I12" s="90"/>
      <c r="J12" s="89">
        <f ca="1">i_rank_i!CC35</f>
        <v>2</v>
      </c>
      <c r="K12" s="117">
        <f ca="1">i_rank_i!CD35</f>
        <v>29</v>
      </c>
      <c r="L12" s="114" t="str">
        <f ca="1">i_rank_i!CE35</f>
        <v>Yemen</v>
      </c>
      <c r="M12" s="115">
        <f ca="1">i_rank_i!CF35</f>
        <v>42.1</v>
      </c>
      <c r="N12" s="90"/>
      <c r="O12" s="89">
        <f ca="1">i_rank_i!CC55</f>
        <v>2</v>
      </c>
      <c r="P12" s="117">
        <f ca="1">i_rank_i!CD55</f>
        <v>49</v>
      </c>
      <c r="Q12" s="114" t="str">
        <f ca="1">i_rank_i!CE55</f>
        <v>Azerbaijan</v>
      </c>
      <c r="R12" s="115">
        <f ca="1">i_rank_i!CF55</f>
        <v>29</v>
      </c>
    </row>
    <row r="13" spans="1:18">
      <c r="A13" s="26"/>
      <c r="B13" s="33" t="s">
        <v>1032</v>
      </c>
      <c r="C13" s="27"/>
      <c r="E13" s="88">
        <f ca="1">i_rank_i!CC16</f>
        <v>2</v>
      </c>
      <c r="F13" s="117" t="str">
        <f ca="1">i_rank_i!CD16</f>
        <v>=9</v>
      </c>
      <c r="G13" s="114" t="str">
        <f ca="1">i_rank_i!CE16</f>
        <v>Uganda</v>
      </c>
      <c r="H13" s="115">
        <f ca="1">i_rank_i!CF16</f>
        <v>57.5</v>
      </c>
      <c r="I13" s="90"/>
      <c r="J13" s="89">
        <f ca="1">i_rank_i!CC36</f>
        <v>2</v>
      </c>
      <c r="K13" s="117" t="str">
        <f ca="1">i_rank_i!CD36</f>
        <v>=30</v>
      </c>
      <c r="L13" s="114" t="str">
        <f ca="1">i_rank_i!CE36</f>
        <v>Sri Lanka</v>
      </c>
      <c r="M13" s="115">
        <f ca="1">i_rank_i!CF36</f>
        <v>40.4</v>
      </c>
      <c r="N13" s="90"/>
      <c r="O13" s="89">
        <f ca="1">i_rank_i!CC56</f>
        <v>2</v>
      </c>
      <c r="P13" s="117">
        <f ca="1">i_rank_i!CD56</f>
        <v>50</v>
      </c>
      <c r="Q13" s="114" t="str">
        <f ca="1">i_rank_i!CE56</f>
        <v>Uruguay</v>
      </c>
      <c r="R13" s="115">
        <f ca="1">i_rank_i!CF56</f>
        <v>28.4</v>
      </c>
    </row>
    <row r="14" spans="1:18">
      <c r="A14" s="26"/>
      <c r="B14" s="26"/>
      <c r="C14" s="27"/>
      <c r="E14" s="88">
        <f ca="1">i_rank_i!CC17</f>
        <v>2</v>
      </c>
      <c r="F14" s="117">
        <f ca="1">i_rank_i!CD17</f>
        <v>11</v>
      </c>
      <c r="G14" s="114" t="str">
        <f ca="1">i_rank_i!CE17</f>
        <v>Pakistan</v>
      </c>
      <c r="H14" s="115">
        <f ca="1">i_rank_i!CF17</f>
        <v>56.5</v>
      </c>
      <c r="I14" s="90"/>
      <c r="J14" s="89">
        <f ca="1">i_rank_i!CC37</f>
        <v>2</v>
      </c>
      <c r="K14" s="117" t="str">
        <f ca="1">i_rank_i!CD37</f>
        <v>=30</v>
      </c>
      <c r="L14" s="114" t="str">
        <f ca="1">i_rank_i!CE37</f>
        <v>Tajikistan</v>
      </c>
      <c r="M14" s="115">
        <f ca="1">i_rank_i!CF37</f>
        <v>40.4</v>
      </c>
      <c r="N14" s="90"/>
      <c r="O14" s="89">
        <f ca="1">i_rank_i!CC57</f>
        <v>2</v>
      </c>
      <c r="P14" s="117">
        <f ca="1">i_rank_i!CD57</f>
        <v>51</v>
      </c>
      <c r="Q14" s="114" t="str">
        <f ca="1">i_rank_i!CE57</f>
        <v>Venezuela</v>
      </c>
      <c r="R14" s="115">
        <f ca="1">i_rank_i!CF57</f>
        <v>24.1</v>
      </c>
    </row>
    <row r="15" spans="1:18">
      <c r="A15" s="26"/>
      <c r="B15" s="26"/>
      <c r="C15" s="27"/>
      <c r="E15" s="88">
        <f ca="1">i_rank_i!CC18</f>
        <v>2</v>
      </c>
      <c r="F15" s="117">
        <f ca="1">i_rank_i!CD18</f>
        <v>12</v>
      </c>
      <c r="G15" s="114" t="str">
        <f ca="1">i_rank_i!CE18</f>
        <v>Kyrgyzstan</v>
      </c>
      <c r="H15" s="115">
        <f ca="1">i_rank_i!CF18</f>
        <v>56.2</v>
      </c>
      <c r="I15" s="90"/>
      <c r="J15" s="89">
        <f ca="1">i_rank_i!CC38</f>
        <v>2</v>
      </c>
      <c r="K15" s="117">
        <f ca="1">i_rank_i!CD38</f>
        <v>32</v>
      </c>
      <c r="L15" s="114" t="str">
        <f ca="1">i_rank_i!CE38</f>
        <v>Mozambique</v>
      </c>
      <c r="M15" s="115">
        <f ca="1">i_rank_i!CF38</f>
        <v>40.299999999999997</v>
      </c>
      <c r="N15" s="90"/>
      <c r="O15" s="89">
        <f ca="1">i_rank_i!CC58</f>
        <v>2</v>
      </c>
      <c r="P15" s="117">
        <f ca="1">i_rank_i!CD58</f>
        <v>52</v>
      </c>
      <c r="Q15" s="114" t="str">
        <f ca="1">i_rank_i!CE58</f>
        <v>Jamaica</v>
      </c>
      <c r="R15" s="115">
        <f ca="1">i_rank_i!CF58</f>
        <v>23.7</v>
      </c>
    </row>
    <row r="16" spans="1:18">
      <c r="A16" s="26"/>
      <c r="B16" s="33" t="s">
        <v>1033</v>
      </c>
      <c r="C16" s="27"/>
      <c r="E16" s="88">
        <f ca="1">i_rank_i!CC19</f>
        <v>2</v>
      </c>
      <c r="F16" s="117">
        <f ca="1">i_rank_i!CD19</f>
        <v>13</v>
      </c>
      <c r="G16" s="114" t="str">
        <f ca="1">i_rank_i!CE19</f>
        <v>Kenya</v>
      </c>
      <c r="H16" s="115">
        <f ca="1">i_rank_i!CF19</f>
        <v>55.8</v>
      </c>
      <c r="I16" s="90"/>
      <c r="J16" s="89">
        <f ca="1">i_rank_i!CC39</f>
        <v>2</v>
      </c>
      <c r="K16" s="117">
        <f ca="1">i_rank_i!CD39</f>
        <v>33</v>
      </c>
      <c r="L16" s="114" t="str">
        <f ca="1">i_rank_i!CE39</f>
        <v>Nigeria</v>
      </c>
      <c r="M16" s="115">
        <f ca="1">i_rank_i!CF39</f>
        <v>39.4</v>
      </c>
      <c r="N16" s="90"/>
      <c r="O16" s="89">
        <f ca="1">i_rank_i!CC59</f>
        <v>2</v>
      </c>
      <c r="P16" s="117">
        <f ca="1">i_rank_i!CD59</f>
        <v>53</v>
      </c>
      <c r="Q16" s="114" t="str">
        <f ca="1">i_rank_i!CE59</f>
        <v>Trinidad and Tobago</v>
      </c>
      <c r="R16" s="115">
        <f ca="1">i_rank_i!CF59</f>
        <v>22.9</v>
      </c>
    </row>
    <row r="17" spans="1:18">
      <c r="A17" s="26"/>
      <c r="B17" s="26"/>
      <c r="C17" s="27"/>
      <c r="E17" s="88">
        <f ca="1">i_rank_i!CC20</f>
        <v>2</v>
      </c>
      <c r="F17" s="117">
        <f ca="1">i_rank_i!CD20</f>
        <v>14</v>
      </c>
      <c r="G17" s="114" t="str">
        <f ca="1">i_rank_i!CE20</f>
        <v>Cambodia</v>
      </c>
      <c r="H17" s="115">
        <f ca="1">i_rank_i!CF20</f>
        <v>54.1</v>
      </c>
      <c r="I17" s="90"/>
      <c r="J17" s="89">
        <f ca="1">i_rank_i!CC40</f>
        <v>2</v>
      </c>
      <c r="K17" s="117">
        <f ca="1">i_rank_i!CD40</f>
        <v>34</v>
      </c>
      <c r="L17" s="114" t="str">
        <f ca="1">i_rank_i!CE40</f>
        <v>Rwanda</v>
      </c>
      <c r="M17" s="115">
        <f ca="1">i_rank_i!CF40</f>
        <v>38.6</v>
      </c>
      <c r="N17" s="90"/>
      <c r="O17" s="89">
        <f ca="1">i_rank_i!CC60</f>
        <v>2</v>
      </c>
      <c r="P17" s="117">
        <f ca="1">i_rank_i!CD60</f>
        <v>54</v>
      </c>
      <c r="Q17" s="114" t="str">
        <f ca="1">i_rank_i!CE60</f>
        <v>Vietnam</v>
      </c>
      <c r="R17" s="115">
        <f ca="1">i_rank_i!CF60</f>
        <v>21.6</v>
      </c>
    </row>
    <row r="18" spans="1:18">
      <c r="A18" s="26"/>
      <c r="B18" s="26"/>
      <c r="C18" s="27"/>
      <c r="E18" s="88">
        <f ca="1">i_rank_i!CC21</f>
        <v>2</v>
      </c>
      <c r="F18" s="117">
        <f ca="1">i_rank_i!CD21</f>
        <v>15</v>
      </c>
      <c r="G18" s="114" t="str">
        <f ca="1">i_rank_i!CE21</f>
        <v>Guatemala</v>
      </c>
      <c r="H18" s="115">
        <f ca="1">i_rank_i!CF21</f>
        <v>51.8</v>
      </c>
      <c r="I18" s="90"/>
      <c r="J18" s="89">
        <f ca="1">i_rank_i!CC41</f>
        <v>2</v>
      </c>
      <c r="K18" s="117">
        <f ca="1">i_rank_i!CD41</f>
        <v>35</v>
      </c>
      <c r="L18" s="114" t="str">
        <f ca="1">i_rank_i!CE41</f>
        <v>DRC</v>
      </c>
      <c r="M18" s="115">
        <f ca="1">i_rank_i!CF41</f>
        <v>36.799999999999997</v>
      </c>
      <c r="N18" s="90"/>
      <c r="O18" s="89">
        <f ca="1">i_rank_i!CC61</f>
        <v>2</v>
      </c>
      <c r="P18" s="117">
        <f ca="1">i_rank_i!CD61</f>
        <v>55</v>
      </c>
      <c r="Q18" s="114" t="str">
        <f ca="1">i_rank_i!CE61</f>
        <v>Thailand</v>
      </c>
      <c r="R18" s="115">
        <f ca="1">i_rank_i!CF61</f>
        <v>21.2</v>
      </c>
    </row>
    <row r="19" spans="1:18">
      <c r="A19" s="26"/>
      <c r="B19" s="26"/>
      <c r="C19" s="27"/>
      <c r="E19" s="88">
        <f ca="1">i_rank_i!CC22</f>
        <v>2</v>
      </c>
      <c r="F19" s="117">
        <f ca="1">i_rank_i!CD22</f>
        <v>16</v>
      </c>
      <c r="G19" s="114" t="str">
        <f ca="1">i_rank_i!CE22</f>
        <v>Panama</v>
      </c>
      <c r="H19" s="115">
        <f ca="1">i_rank_i!CF22</f>
        <v>50.9</v>
      </c>
      <c r="I19" s="90"/>
      <c r="J19" s="89">
        <f ca="1">i_rank_i!CC42</f>
        <v>2</v>
      </c>
      <c r="K19" s="117">
        <f ca="1">i_rank_i!CD42</f>
        <v>36</v>
      </c>
      <c r="L19" s="114" t="str">
        <f ca="1">i_rank_i!CE42</f>
        <v>Indonesia</v>
      </c>
      <c r="M19" s="115">
        <f ca="1">i_rank_i!CF42</f>
        <v>35.200000000000003</v>
      </c>
      <c r="N19" s="90"/>
      <c r="O19" s="89">
        <f ca="1">i_rank_i!CC62</f>
        <v>0</v>
      </c>
      <c r="P19" s="117" t="str">
        <f ca="1">i_rank_i!CD62</f>
        <v/>
      </c>
      <c r="Q19" s="114" t="str">
        <f ca="1">i_rank_i!CE62</f>
        <v/>
      </c>
      <c r="R19" s="115" t="str">
        <f ca="1">i_rank_i!CF62</f>
        <v/>
      </c>
    </row>
    <row r="20" spans="1:18">
      <c r="A20" s="26"/>
      <c r="B20" s="26"/>
      <c r="C20" s="27"/>
      <c r="E20" s="88">
        <f ca="1">i_rank_i!CC23</f>
        <v>2</v>
      </c>
      <c r="F20" s="117">
        <f ca="1">i_rank_i!CD23</f>
        <v>17</v>
      </c>
      <c r="G20" s="114" t="str">
        <f ca="1">i_rank_i!CE23</f>
        <v>Paraguay</v>
      </c>
      <c r="H20" s="115">
        <f ca="1">i_rank_i!CF23</f>
        <v>49.5</v>
      </c>
      <c r="I20" s="90"/>
      <c r="J20" s="89">
        <f ca="1">i_rank_i!CC43</f>
        <v>2</v>
      </c>
      <c r="K20" s="117">
        <f ca="1">i_rank_i!CD43</f>
        <v>37</v>
      </c>
      <c r="L20" s="114" t="str">
        <f ca="1">i_rank_i!CE43</f>
        <v>China</v>
      </c>
      <c r="M20" s="115">
        <f ca="1">i_rank_i!CF43</f>
        <v>34.1</v>
      </c>
      <c r="N20" s="90"/>
      <c r="O20" s="89">
        <f ca="1">i_rank_i!CC63</f>
        <v>0</v>
      </c>
      <c r="P20" s="117" t="str">
        <f ca="1">i_rank_i!CD63</f>
        <v/>
      </c>
      <c r="Q20" s="114" t="str">
        <f ca="1">i_rank_i!CE63</f>
        <v/>
      </c>
      <c r="R20" s="115" t="str">
        <f ca="1">i_rank_i!CF63</f>
        <v/>
      </c>
    </row>
    <row r="21" spans="1:18">
      <c r="A21" s="26"/>
      <c r="B21" s="26"/>
      <c r="C21" s="27"/>
      <c r="E21" s="88">
        <f ca="1">i_rank_i!CC24</f>
        <v>2</v>
      </c>
      <c r="F21" s="117">
        <f ca="1">i_rank_i!CD24</f>
        <v>18</v>
      </c>
      <c r="G21" s="114" t="str">
        <f ca="1">i_rank_i!CE24</f>
        <v>Honduras</v>
      </c>
      <c r="H21" s="115">
        <f ca="1">i_rank_i!CF24</f>
        <v>49.3</v>
      </c>
      <c r="I21" s="90"/>
      <c r="J21" s="89">
        <f ca="1">i_rank_i!CC44</f>
        <v>2</v>
      </c>
      <c r="K21" s="117">
        <f ca="1">i_rank_i!CD44</f>
        <v>38</v>
      </c>
      <c r="L21" s="114" t="str">
        <f ca="1">i_rank_i!CE44</f>
        <v>Haiti</v>
      </c>
      <c r="M21" s="115">
        <f ca="1">i_rank_i!CF44</f>
        <v>33.4</v>
      </c>
      <c r="N21" s="90"/>
      <c r="O21" s="89">
        <f ca="1">i_rank_i!CC64</f>
        <v>0</v>
      </c>
      <c r="P21" s="117" t="str">
        <f ca="1">i_rank_i!CD64</f>
        <v/>
      </c>
      <c r="Q21" s="114" t="str">
        <f ca="1">i_rank_i!CE64</f>
        <v/>
      </c>
      <c r="R21" s="115" t="str">
        <f ca="1">i_rank_i!CF64</f>
        <v/>
      </c>
    </row>
    <row r="22" spans="1:18">
      <c r="A22" s="26"/>
      <c r="B22" s="26"/>
      <c r="C22" s="27"/>
      <c r="E22" s="88">
        <f ca="1">i_rank_i!CC25</f>
        <v>2</v>
      </c>
      <c r="F22" s="117">
        <f ca="1">i_rank_i!CD25</f>
        <v>19</v>
      </c>
      <c r="G22" s="114" t="str">
        <f ca="1">i_rank_i!CE25</f>
        <v>Tanzania</v>
      </c>
      <c r="H22" s="115">
        <f ca="1">i_rank_i!CF25</f>
        <v>48.4</v>
      </c>
      <c r="I22" s="90"/>
      <c r="J22" s="89">
        <f ca="1">i_rank_i!CC45</f>
        <v>2</v>
      </c>
      <c r="K22" s="117">
        <f ca="1">i_rank_i!CD45</f>
        <v>39</v>
      </c>
      <c r="L22" s="114" t="str">
        <f ca="1">i_rank_i!CE45</f>
        <v>Senegal</v>
      </c>
      <c r="M22" s="115">
        <f ca="1">i_rank_i!CF45</f>
        <v>32.6</v>
      </c>
      <c r="N22" s="90"/>
      <c r="O22" s="89">
        <f ca="1">i_rank_i!CC65</f>
        <v>0</v>
      </c>
      <c r="P22" s="117" t="str">
        <f ca="1">i_rank_i!CD65</f>
        <v/>
      </c>
      <c r="Q22" s="114" t="str">
        <f ca="1">i_rank_i!CE65</f>
        <v/>
      </c>
      <c r="R22" s="115" t="str">
        <f ca="1">i_rank_i!CF65</f>
        <v/>
      </c>
    </row>
    <row r="23" spans="1:18">
      <c r="A23" s="26"/>
      <c r="B23" s="26"/>
      <c r="C23" s="27"/>
      <c r="E23" s="88">
        <f ca="1">i_rank_i!CC26</f>
        <v>2</v>
      </c>
      <c r="F23" s="117">
        <f ca="1">i_rank_i!CD26</f>
        <v>20</v>
      </c>
      <c r="G23" s="114" t="str">
        <f ca="1">i_rank_i!CE26</f>
        <v>Chile</v>
      </c>
      <c r="H23" s="115">
        <f ca="1">i_rank_i!CF26</f>
        <v>48</v>
      </c>
      <c r="I23" s="90"/>
      <c r="J23" s="89">
        <f ca="1">i_rank_i!CC46</f>
        <v>2</v>
      </c>
      <c r="K23" s="117">
        <f ca="1">i_rank_i!CD46</f>
        <v>40</v>
      </c>
      <c r="L23" s="114" t="str">
        <f ca="1">i_rank_i!CE46</f>
        <v>Madagascar</v>
      </c>
      <c r="M23" s="115">
        <f ca="1">i_rank_i!CF46</f>
        <v>32.299999999999997</v>
      </c>
      <c r="N23" s="90"/>
      <c r="O23" s="89">
        <f ca="1">i_rank_i!CC66</f>
        <v>0</v>
      </c>
      <c r="P23" s="117" t="str">
        <f ca="1">i_rank_i!CD66</f>
        <v/>
      </c>
      <c r="Q23" s="114" t="str">
        <f ca="1">i_rank_i!CE66</f>
        <v/>
      </c>
      <c r="R23" s="115" t="str">
        <f ca="1">i_rank_i!CF66</f>
        <v/>
      </c>
    </row>
    <row r="24" spans="1:18">
      <c r="A24" s="26"/>
      <c r="B24" s="26"/>
      <c r="C24" s="27"/>
      <c r="F24" s="90"/>
      <c r="G24" s="90"/>
      <c r="H24" s="90"/>
      <c r="I24" s="90"/>
      <c r="J24" s="90"/>
      <c r="K24" s="90"/>
      <c r="L24" s="90"/>
      <c r="M24" s="90"/>
      <c r="N24" s="90"/>
      <c r="O24" s="89">
        <f ca="1">i_rank_i!CC67</f>
        <v>0</v>
      </c>
      <c r="P24" s="117" t="str">
        <f ca="1">i_rank_i!CD67</f>
        <v/>
      </c>
      <c r="Q24" s="114" t="str">
        <f ca="1">i_rank_i!CE67</f>
        <v/>
      </c>
      <c r="R24" s="115" t="str">
        <f ca="1">i_rank_i!CF67</f>
        <v/>
      </c>
    </row>
    <row r="25" spans="1:18">
      <c r="A25" s="26"/>
      <c r="B25" s="26"/>
      <c r="C25" s="27"/>
      <c r="O25" s="89">
        <f ca="1">i_rank_i!CC68</f>
        <v>0</v>
      </c>
      <c r="P25" s="117" t="str">
        <f ca="1">i_rank_i!CD68</f>
        <v/>
      </c>
      <c r="Q25" s="114" t="str">
        <f ca="1">i_rank_i!CE68</f>
        <v/>
      </c>
      <c r="R25" s="115" t="str">
        <f ca="1">i_rank_i!CF68</f>
        <v/>
      </c>
    </row>
    <row r="26" spans="1:18">
      <c r="A26" s="26"/>
      <c r="B26" s="26"/>
      <c r="C26" s="27"/>
      <c r="O26" s="89">
        <f ca="1">i_rank_i!CC69</f>
        <v>0</v>
      </c>
      <c r="P26" s="117" t="str">
        <f ca="1">i_rank_i!CD69</f>
        <v/>
      </c>
      <c r="Q26" s="114" t="str">
        <f ca="1">i_rank_i!CE69</f>
        <v/>
      </c>
      <c r="R26" s="115" t="str">
        <f ca="1">i_rank_i!CF69</f>
        <v/>
      </c>
    </row>
    <row r="27" spans="1:18">
      <c r="A27" s="26"/>
      <c r="B27" s="26"/>
      <c r="C27" s="27"/>
    </row>
    <row r="28" spans="1:18">
      <c r="A28" s="26"/>
      <c r="B28" s="26"/>
      <c r="C28" s="27"/>
    </row>
    <row r="29" spans="1:18">
      <c r="A29" s="26"/>
      <c r="B29" s="26"/>
      <c r="C29" s="27"/>
    </row>
    <row r="30" spans="1:18">
      <c r="A30" s="26"/>
      <c r="B30" s="26"/>
      <c r="C30" s="27"/>
    </row>
    <row r="31" spans="1:18">
      <c r="A31" s="26"/>
      <c r="B31" s="26"/>
      <c r="C31" s="27"/>
    </row>
    <row r="32" spans="1:18">
      <c r="A32" s="26"/>
      <c r="B32" s="26"/>
      <c r="C32" s="27"/>
    </row>
    <row r="33" spans="1:3">
      <c r="A33" s="26"/>
      <c r="B33" s="26"/>
      <c r="C33" s="27"/>
    </row>
    <row r="34" spans="1:3">
      <c r="A34" s="26"/>
      <c r="B34" s="26"/>
      <c r="C34" s="27"/>
    </row>
    <row r="35" spans="1:3">
      <c r="A35" s="26"/>
      <c r="B35" s="26"/>
      <c r="C35" s="27"/>
    </row>
    <row r="36" spans="1:3">
      <c r="A36" s="28"/>
      <c r="B36" s="28"/>
      <c r="C36" s="29"/>
    </row>
  </sheetData>
  <mergeCells count="1">
    <mergeCell ref="F1:N1"/>
  </mergeCells>
  <phoneticPr fontId="0" type="noConversion"/>
  <conditionalFormatting sqref="F4:F23 K4:K23 P4:P26">
    <cfRule type="expression" dxfId="47" priority="1" stopIfTrue="1">
      <formula>E4=3</formula>
    </cfRule>
    <cfRule type="expression" dxfId="46" priority="2" stopIfTrue="1">
      <formula>E4=1</formula>
    </cfRule>
    <cfRule type="expression" dxfId="45" priority="3" stopIfTrue="1">
      <formula>E4=0</formula>
    </cfRule>
  </conditionalFormatting>
  <conditionalFormatting sqref="G4:G23 L4:L23 Q4:Q26">
    <cfRule type="expression" dxfId="44" priority="4" stopIfTrue="1">
      <formula>E4=3</formula>
    </cfRule>
    <cfRule type="expression" dxfId="43" priority="5" stopIfTrue="1">
      <formula>E4=1</formula>
    </cfRule>
    <cfRule type="expression" dxfId="42" priority="6" stopIfTrue="1">
      <formula>E4=0</formula>
    </cfRule>
  </conditionalFormatting>
  <conditionalFormatting sqref="M4:M23 H4:H23 R4:R26">
    <cfRule type="expression" dxfId="41" priority="7" stopIfTrue="1">
      <formula>E4=3</formula>
    </cfRule>
    <cfRule type="expression" dxfId="40" priority="8" stopIfTrue="1">
      <formula>E4=1</formula>
    </cfRule>
    <cfRule type="expression" dxfId="39" priority="9" stopIfTrue="1">
      <formula>E4=0</formula>
    </cfRule>
  </conditionalFormatting>
  <pageMargins left="0.7" right="0.7" top="0.75" bottom="0.75" header="0.3" footer="0.3"/>
  <pageSetup paperSize="0" orientation="portrait" horizontalDpi="0" verticalDpi="0" copies="0"/>
  <headerFooter alignWithMargins="0"/>
  <drawing r:id="rId1"/>
  <legacyDrawing r:id="rId2"/>
</worksheet>
</file>

<file path=xl/worksheets/sheet6.xml><?xml version="1.0" encoding="utf-8"?>
<worksheet xmlns="http://schemas.openxmlformats.org/spreadsheetml/2006/main" xmlns:r="http://schemas.openxmlformats.org/officeDocument/2006/relationships">
  <sheetPr codeName="Sheet22"/>
  <dimension ref="A1:BK28"/>
  <sheetViews>
    <sheetView workbookViewId="0">
      <selection activeCell="H44" sqref="H44"/>
    </sheetView>
  </sheetViews>
  <sheetFormatPr defaultRowHeight="12.75"/>
  <cols>
    <col min="1" max="1" width="3" bestFit="1" customWidth="1"/>
    <col min="2" max="2" width="2" bestFit="1" customWidth="1"/>
    <col min="4" max="4" width="5.140625" customWidth="1"/>
    <col min="5" max="7" width="5" customWidth="1"/>
    <col min="8" max="8" width="62.42578125" bestFit="1" customWidth="1"/>
  </cols>
  <sheetData>
    <row r="1" spans="1:63">
      <c r="E1" s="6"/>
      <c r="F1" s="6"/>
      <c r="G1" s="6"/>
      <c r="I1">
        <v>1</v>
      </c>
      <c r="J1">
        <v>2</v>
      </c>
      <c r="K1">
        <v>3</v>
      </c>
      <c r="L1">
        <v>4</v>
      </c>
      <c r="M1">
        <v>5</v>
      </c>
      <c r="N1">
        <v>6</v>
      </c>
      <c r="O1">
        <v>7</v>
      </c>
      <c r="P1">
        <v>8</v>
      </c>
      <c r="Q1">
        <v>9</v>
      </c>
      <c r="R1">
        <v>10</v>
      </c>
      <c r="S1">
        <v>11</v>
      </c>
      <c r="T1">
        <v>12</v>
      </c>
      <c r="U1">
        <v>13</v>
      </c>
      <c r="V1">
        <v>14</v>
      </c>
      <c r="W1">
        <v>15</v>
      </c>
      <c r="X1">
        <v>16</v>
      </c>
      <c r="Y1">
        <v>17</v>
      </c>
      <c r="Z1">
        <v>18</v>
      </c>
      <c r="AA1">
        <v>19</v>
      </c>
      <c r="AB1">
        <v>20</v>
      </c>
      <c r="AC1">
        <v>21</v>
      </c>
      <c r="AD1">
        <v>22</v>
      </c>
      <c r="AE1">
        <v>23</v>
      </c>
      <c r="AF1">
        <v>24</v>
      </c>
      <c r="AG1">
        <v>25</v>
      </c>
      <c r="AH1">
        <v>26</v>
      </c>
      <c r="AI1">
        <v>27</v>
      </c>
      <c r="AJ1">
        <v>28</v>
      </c>
      <c r="AK1">
        <v>29</v>
      </c>
      <c r="AL1">
        <v>30</v>
      </c>
      <c r="AM1">
        <v>31</v>
      </c>
      <c r="AN1">
        <v>32</v>
      </c>
      <c r="AO1">
        <v>33</v>
      </c>
      <c r="AP1">
        <v>34</v>
      </c>
      <c r="AQ1">
        <v>35</v>
      </c>
      <c r="AR1">
        <v>36</v>
      </c>
      <c r="AS1">
        <v>37</v>
      </c>
      <c r="AT1">
        <v>38</v>
      </c>
      <c r="AU1">
        <v>39</v>
      </c>
      <c r="AV1">
        <v>40</v>
      </c>
      <c r="AW1">
        <v>41</v>
      </c>
      <c r="AX1">
        <v>42</v>
      </c>
      <c r="AY1">
        <v>43</v>
      </c>
      <c r="AZ1">
        <v>44</v>
      </c>
      <c r="BA1">
        <v>45</v>
      </c>
      <c r="BB1">
        <v>46</v>
      </c>
      <c r="BC1">
        <v>47</v>
      </c>
      <c r="BD1">
        <v>48</v>
      </c>
      <c r="BE1">
        <v>49</v>
      </c>
      <c r="BF1">
        <v>50</v>
      </c>
      <c r="BG1">
        <v>51</v>
      </c>
      <c r="BH1">
        <v>52</v>
      </c>
      <c r="BI1">
        <v>53</v>
      </c>
      <c r="BJ1">
        <v>54</v>
      </c>
      <c r="BK1">
        <v>55</v>
      </c>
    </row>
    <row r="2" spans="1:63">
      <c r="I2" t="str">
        <f t="shared" ref="I2:BK2" ca="1" si="0">INDEX(lu_countries_and_regions,I1,0)</f>
        <v>Argentina</v>
      </c>
      <c r="J2" t="str">
        <f t="shared" ca="1" si="0"/>
        <v>Armenia</v>
      </c>
      <c r="K2" t="str">
        <f t="shared" ca="1" si="0"/>
        <v>Azerbaijan</v>
      </c>
      <c r="L2" t="str">
        <f t="shared" ca="1" si="0"/>
        <v>Bangladesh</v>
      </c>
      <c r="M2" t="str">
        <f t="shared" ca="1" si="0"/>
        <v>Bolivia</v>
      </c>
      <c r="N2" t="str">
        <f t="shared" ca="1" si="0"/>
        <v>Bosnia</v>
      </c>
      <c r="O2" t="str">
        <f t="shared" ca="1" si="0"/>
        <v>Brazil</v>
      </c>
      <c r="P2" t="str">
        <f t="shared" ca="1" si="0"/>
        <v>Cambodia</v>
      </c>
      <c r="Q2" t="str">
        <f t="shared" ca="1" si="0"/>
        <v>Cameroon</v>
      </c>
      <c r="R2" t="str">
        <f t="shared" ca="1" si="0"/>
        <v>Chile</v>
      </c>
      <c r="S2" t="str">
        <f t="shared" ca="1" si="0"/>
        <v>China</v>
      </c>
      <c r="T2" t="str">
        <f t="shared" ca="1" si="0"/>
        <v>Colombia</v>
      </c>
      <c r="U2" t="str">
        <f t="shared" ca="1" si="0"/>
        <v>Costa Rica</v>
      </c>
      <c r="V2" t="str">
        <f t="shared" ca="1" si="0"/>
        <v>Dominican Republic</v>
      </c>
      <c r="W2" t="str">
        <f t="shared" ca="1" si="0"/>
        <v>DRC</v>
      </c>
      <c r="X2" t="str">
        <f t="shared" ca="1" si="0"/>
        <v>Ecuador</v>
      </c>
      <c r="Y2" t="str">
        <f t="shared" ca="1" si="0"/>
        <v>El Salvador</v>
      </c>
      <c r="Z2" t="str">
        <f t="shared" ca="1" si="0"/>
        <v>Ethiopia</v>
      </c>
      <c r="AA2" t="str">
        <f t="shared" ca="1" si="0"/>
        <v>Georgia</v>
      </c>
      <c r="AB2" t="str">
        <f t="shared" ca="1" si="0"/>
        <v>Ghana</v>
      </c>
      <c r="AC2" t="str">
        <f t="shared" ca="1" si="0"/>
        <v>Guatemala</v>
      </c>
      <c r="AD2" t="str">
        <f t="shared" ca="1" si="0"/>
        <v>Haiti</v>
      </c>
      <c r="AE2" t="str">
        <f t="shared" ca="1" si="0"/>
        <v>Honduras</v>
      </c>
      <c r="AF2" t="str">
        <f t="shared" ca="1" si="0"/>
        <v>India</v>
      </c>
      <c r="AG2" t="str">
        <f t="shared" ca="1" si="0"/>
        <v>Indonesia</v>
      </c>
      <c r="AH2" t="str">
        <f t="shared" ca="1" si="0"/>
        <v>Jamaica</v>
      </c>
      <c r="AI2" t="str">
        <f t="shared" ca="1" si="0"/>
        <v>Kenya</v>
      </c>
      <c r="AJ2" t="str">
        <f t="shared" ca="1" si="0"/>
        <v>Kyrgyzstan</v>
      </c>
      <c r="AK2" t="str">
        <f t="shared" ca="1" si="0"/>
        <v>Lebanon</v>
      </c>
      <c r="AL2" t="str">
        <f t="shared" ca="1" si="0"/>
        <v>Madagascar</v>
      </c>
      <c r="AM2" t="str">
        <f t="shared" ca="1" si="0"/>
        <v>Mexico</v>
      </c>
      <c r="AN2" t="str">
        <f t="shared" ca="1" si="0"/>
        <v>Mongolia</v>
      </c>
      <c r="AO2" t="str">
        <f t="shared" ca="1" si="0"/>
        <v>Morocco</v>
      </c>
      <c r="AP2" t="str">
        <f t="shared" ca="1" si="0"/>
        <v>Mozambique</v>
      </c>
      <c r="AQ2" t="str">
        <f t="shared" ca="1" si="0"/>
        <v>Nepal</v>
      </c>
      <c r="AR2" t="str">
        <f t="shared" ca="1" si="0"/>
        <v>Nicaragua</v>
      </c>
      <c r="AS2" t="str">
        <f t="shared" ca="1" si="0"/>
        <v>Nigeria</v>
      </c>
      <c r="AT2" t="str">
        <f t="shared" ca="1" si="0"/>
        <v>Pakistan</v>
      </c>
      <c r="AU2" t="str">
        <f t="shared" ca="1" si="0"/>
        <v>Panama</v>
      </c>
      <c r="AV2" t="str">
        <f t="shared" ca="1" si="0"/>
        <v>Paraguay</v>
      </c>
      <c r="AW2" t="str">
        <f t="shared" ca="1" si="0"/>
        <v>Peru</v>
      </c>
      <c r="AX2" t="str">
        <f t="shared" ca="1" si="0"/>
        <v>Philippines</v>
      </c>
      <c r="AY2" t="str">
        <f t="shared" ca="1" si="0"/>
        <v>Rwanda</v>
      </c>
      <c r="AZ2" t="str">
        <f t="shared" ca="1" si="0"/>
        <v>Senegal</v>
      </c>
      <c r="BA2" t="str">
        <f t="shared" ca="1" si="0"/>
        <v>Sri Lanka</v>
      </c>
      <c r="BB2" t="str">
        <f t="shared" ca="1" si="0"/>
        <v>Tajikistan</v>
      </c>
      <c r="BC2" t="str">
        <f t="shared" ca="1" si="0"/>
        <v>Tanzania</v>
      </c>
      <c r="BD2" t="str">
        <f t="shared" ca="1" si="0"/>
        <v>Thailand</v>
      </c>
      <c r="BE2" t="str">
        <f t="shared" ca="1" si="0"/>
        <v>Trinidad and Tobago</v>
      </c>
      <c r="BF2" t="str">
        <f t="shared" ca="1" si="0"/>
        <v>Turkey</v>
      </c>
      <c r="BG2" t="str">
        <f t="shared" ca="1" si="0"/>
        <v>Uganda</v>
      </c>
      <c r="BH2" t="str">
        <f t="shared" ca="1" si="0"/>
        <v>Uruguay</v>
      </c>
      <c r="BI2" t="str">
        <f t="shared" ca="1" si="0"/>
        <v>Venezuela</v>
      </c>
      <c r="BJ2" t="str">
        <f t="shared" ca="1" si="0"/>
        <v>Vietnam</v>
      </c>
      <c r="BK2" t="str">
        <f t="shared" ca="1" si="0"/>
        <v>Yemen</v>
      </c>
    </row>
    <row r="3" spans="1:63">
      <c r="C3" t="str">
        <f ca="1">tblIndByType!A2</f>
        <v>OVERALL</v>
      </c>
      <c r="H3" t="str">
        <f ca="1">tblIndByType!C2</f>
        <v>Overall score</v>
      </c>
      <c r="I3" s="19">
        <f>ROUND(SUMPRODUCT(I$4:I$6*$G$4:$G$6),1)</f>
        <v>26.9</v>
      </c>
      <c r="J3" s="19" t="e">
        <f t="shared" ref="J3:BK3" si="1">ROUND(SUMPRODUCT(J$4:J$6*$G$4:$G$6),1)</f>
        <v>#VALUE!</v>
      </c>
      <c r="K3" s="19" t="e">
        <f t="shared" si="1"/>
        <v>#VALUE!</v>
      </c>
      <c r="L3" s="19" t="e">
        <f t="shared" si="1"/>
        <v>#VALUE!</v>
      </c>
      <c r="M3" s="19">
        <f t="shared" si="1"/>
        <v>79.400000000000006</v>
      </c>
      <c r="N3" s="19" t="e">
        <f t="shared" si="1"/>
        <v>#VALUE!</v>
      </c>
      <c r="O3" s="19">
        <f t="shared" si="1"/>
        <v>43.3</v>
      </c>
      <c r="P3" s="19" t="e">
        <f t="shared" si="1"/>
        <v>#VALUE!</v>
      </c>
      <c r="Q3" s="19" t="e">
        <f t="shared" si="1"/>
        <v>#VALUE!</v>
      </c>
      <c r="R3" s="19">
        <f t="shared" si="1"/>
        <v>48.3</v>
      </c>
      <c r="S3" s="19" t="e">
        <f t="shared" si="1"/>
        <v>#VALUE!</v>
      </c>
      <c r="T3" s="19">
        <f t="shared" si="1"/>
        <v>46.1</v>
      </c>
      <c r="U3" s="19">
        <f t="shared" si="1"/>
        <v>-25</v>
      </c>
      <c r="V3" s="19">
        <f t="shared" si="1"/>
        <v>57.5</v>
      </c>
      <c r="W3" s="19" t="e">
        <f t="shared" si="1"/>
        <v>#VALUE!</v>
      </c>
      <c r="X3" s="19">
        <f t="shared" si="1"/>
        <v>68.3</v>
      </c>
      <c r="Y3" s="19">
        <f t="shared" si="1"/>
        <v>61.5</v>
      </c>
      <c r="Z3" s="19" t="e">
        <f t="shared" si="1"/>
        <v>#VALUE!</v>
      </c>
      <c r="AA3" s="19" t="e">
        <f t="shared" si="1"/>
        <v>#VALUE!</v>
      </c>
      <c r="AB3" s="19" t="e">
        <f t="shared" si="1"/>
        <v>#VALUE!</v>
      </c>
      <c r="AC3" s="19">
        <f t="shared" si="1"/>
        <v>44</v>
      </c>
      <c r="AD3" s="19">
        <f t="shared" si="1"/>
        <v>-25</v>
      </c>
      <c r="AE3" s="19">
        <f t="shared" si="1"/>
        <v>-25</v>
      </c>
      <c r="AF3" s="19" t="e">
        <f t="shared" si="1"/>
        <v>#VALUE!</v>
      </c>
      <c r="AG3" s="19" t="e">
        <f t="shared" si="1"/>
        <v>#VALUE!</v>
      </c>
      <c r="AH3" s="19">
        <f t="shared" si="1"/>
        <v>-25</v>
      </c>
      <c r="AI3" s="19" t="e">
        <f t="shared" si="1"/>
        <v>#VALUE!</v>
      </c>
      <c r="AJ3" s="19" t="e">
        <f t="shared" si="1"/>
        <v>#VALUE!</v>
      </c>
      <c r="AK3" s="19" t="e">
        <f t="shared" si="1"/>
        <v>#VALUE!</v>
      </c>
      <c r="AL3" s="19" t="e">
        <f t="shared" si="1"/>
        <v>#VALUE!</v>
      </c>
      <c r="AM3" s="19">
        <f t="shared" si="1"/>
        <v>48.3</v>
      </c>
      <c r="AN3" s="19" t="e">
        <f t="shared" si="1"/>
        <v>#VALUE!</v>
      </c>
      <c r="AO3" s="19" t="e">
        <f t="shared" si="1"/>
        <v>#VALUE!</v>
      </c>
      <c r="AP3" s="19" t="e">
        <f t="shared" si="1"/>
        <v>#VALUE!</v>
      </c>
      <c r="AQ3" s="19" t="e">
        <f t="shared" si="1"/>
        <v>#VALUE!</v>
      </c>
      <c r="AR3" s="19">
        <f t="shared" si="1"/>
        <v>53.8</v>
      </c>
      <c r="AS3" s="19" t="e">
        <f t="shared" si="1"/>
        <v>#VALUE!</v>
      </c>
      <c r="AT3" s="19" t="e">
        <f t="shared" si="1"/>
        <v>#VALUE!</v>
      </c>
      <c r="AU3" s="19">
        <f t="shared" si="1"/>
        <v>-25</v>
      </c>
      <c r="AV3" s="19">
        <f t="shared" si="1"/>
        <v>52.9</v>
      </c>
      <c r="AW3" s="19">
        <f t="shared" si="1"/>
        <v>74.099999999999994</v>
      </c>
      <c r="AX3" s="19" t="e">
        <f t="shared" si="1"/>
        <v>#VALUE!</v>
      </c>
      <c r="AY3" s="19" t="e">
        <f t="shared" si="1"/>
        <v>#VALUE!</v>
      </c>
      <c r="AZ3" s="19" t="e">
        <f t="shared" si="1"/>
        <v>#VALUE!</v>
      </c>
      <c r="BA3" s="19" t="e">
        <f t="shared" si="1"/>
        <v>#VALUE!</v>
      </c>
      <c r="BB3" s="19" t="e">
        <f t="shared" si="1"/>
        <v>#VALUE!</v>
      </c>
      <c r="BC3" s="19" t="e">
        <f t="shared" si="1"/>
        <v>#VALUE!</v>
      </c>
      <c r="BD3" s="19" t="e">
        <f t="shared" si="1"/>
        <v>#VALUE!</v>
      </c>
      <c r="BE3" s="19" t="e">
        <f t="shared" si="1"/>
        <v>#VALUE!</v>
      </c>
      <c r="BF3" s="19" t="e">
        <f t="shared" si="1"/>
        <v>#VALUE!</v>
      </c>
      <c r="BG3" s="19" t="e">
        <f t="shared" si="1"/>
        <v>#VALUE!</v>
      </c>
      <c r="BH3" s="19">
        <f t="shared" si="1"/>
        <v>35.799999999999997</v>
      </c>
      <c r="BI3" s="19">
        <f t="shared" si="1"/>
        <v>27.5</v>
      </c>
      <c r="BJ3" s="19" t="e">
        <f t="shared" si="1"/>
        <v>#VALUE!</v>
      </c>
      <c r="BK3" s="19" t="e">
        <f t="shared" si="1"/>
        <v>#VALUE!</v>
      </c>
    </row>
    <row r="4" spans="1:63">
      <c r="C4" t="str">
        <f ca="1">tblIndByType!A3</f>
        <v>RF00</v>
      </c>
      <c r="D4" s="4" t="s">
        <v>906</v>
      </c>
      <c r="E4">
        <f ca="1">MATCH(C4,Weights!C$4:C$89,0)</f>
        <v>1</v>
      </c>
      <c r="F4">
        <f ca="1">INDEX(Weights!G$4:G$89,E4)</f>
        <v>4</v>
      </c>
      <c r="G4">
        <f>F4/SUMIF(D$4:D$6,D4,F$4:F$6)</f>
        <v>0.4</v>
      </c>
      <c r="H4" t="str">
        <f ca="1">tblIndByType!C3</f>
        <v xml:space="preserve">Regulatory Framework </v>
      </c>
      <c r="I4" s="19">
        <f t="shared" ref="I4:R6" si="2">ROUND(SUMPRODUCT(($D$12:$D$30=$C4)*I$12:I$30*$G$12:$G$30*25),1)</f>
        <v>18.8</v>
      </c>
      <c r="J4" s="19" t="e">
        <f t="shared" si="2"/>
        <v>#VALUE!</v>
      </c>
      <c r="K4" s="19" t="e">
        <f t="shared" si="2"/>
        <v>#VALUE!</v>
      </c>
      <c r="L4" s="19" t="e">
        <f t="shared" si="2"/>
        <v>#VALUE!</v>
      </c>
      <c r="M4" s="19">
        <f t="shared" si="2"/>
        <v>100</v>
      </c>
      <c r="N4" s="19" t="e">
        <f t="shared" si="2"/>
        <v>#VALUE!</v>
      </c>
      <c r="O4" s="19">
        <f t="shared" si="2"/>
        <v>43.8</v>
      </c>
      <c r="P4" s="19" t="e">
        <f t="shared" si="2"/>
        <v>#VALUE!</v>
      </c>
      <c r="Q4" s="19" t="e">
        <f t="shared" si="2"/>
        <v>#VALUE!</v>
      </c>
      <c r="R4" s="19">
        <f t="shared" si="2"/>
        <v>50</v>
      </c>
      <c r="S4" s="19" t="e">
        <f t="shared" ref="S4:AB6" si="3">ROUND(SUMPRODUCT(($D$12:$D$30=$C4)*S$12:S$30*$G$12:$G$30*25),1)</f>
        <v>#VALUE!</v>
      </c>
      <c r="T4" s="19">
        <f t="shared" si="3"/>
        <v>50</v>
      </c>
      <c r="U4" s="19">
        <f t="shared" si="3"/>
        <v>-25</v>
      </c>
      <c r="V4" s="19">
        <f t="shared" si="3"/>
        <v>50</v>
      </c>
      <c r="W4" s="19" t="e">
        <f t="shared" si="3"/>
        <v>#VALUE!</v>
      </c>
      <c r="X4" s="19">
        <f t="shared" si="3"/>
        <v>75</v>
      </c>
      <c r="Y4" s="19">
        <f t="shared" si="3"/>
        <v>62.5</v>
      </c>
      <c r="Z4" s="19" t="e">
        <f t="shared" si="3"/>
        <v>#VALUE!</v>
      </c>
      <c r="AA4" s="19" t="e">
        <f t="shared" si="3"/>
        <v>#VALUE!</v>
      </c>
      <c r="AB4" s="19" t="e">
        <f t="shared" si="3"/>
        <v>#VALUE!</v>
      </c>
      <c r="AC4" s="19">
        <f t="shared" ref="AC4:AL6" si="4">ROUND(SUMPRODUCT(($D$12:$D$30=$C4)*AC$12:AC$30*$G$12:$G$30*25),1)</f>
        <v>56.3</v>
      </c>
      <c r="AD4" s="19">
        <f t="shared" si="4"/>
        <v>-25</v>
      </c>
      <c r="AE4" s="19">
        <f t="shared" si="4"/>
        <v>-25</v>
      </c>
      <c r="AF4" s="19" t="e">
        <f t="shared" si="4"/>
        <v>#VALUE!</v>
      </c>
      <c r="AG4" s="19" t="e">
        <f t="shared" si="4"/>
        <v>#VALUE!</v>
      </c>
      <c r="AH4" s="19">
        <f t="shared" si="4"/>
        <v>-25</v>
      </c>
      <c r="AI4" s="19" t="e">
        <f t="shared" si="4"/>
        <v>#VALUE!</v>
      </c>
      <c r="AJ4" s="19" t="e">
        <f t="shared" si="4"/>
        <v>#VALUE!</v>
      </c>
      <c r="AK4" s="19" t="e">
        <f t="shared" si="4"/>
        <v>#VALUE!</v>
      </c>
      <c r="AL4" s="19" t="e">
        <f t="shared" si="4"/>
        <v>#VALUE!</v>
      </c>
      <c r="AM4" s="19">
        <f t="shared" ref="AM4:AV6" si="5">ROUND(SUMPRODUCT(($D$12:$D$30=$C4)*AM$12:AM$30*$G$12:$G$30*25),1)</f>
        <v>50</v>
      </c>
      <c r="AN4" s="19" t="e">
        <f t="shared" si="5"/>
        <v>#VALUE!</v>
      </c>
      <c r="AO4" s="19" t="e">
        <f t="shared" si="5"/>
        <v>#VALUE!</v>
      </c>
      <c r="AP4" s="19" t="e">
        <f t="shared" si="5"/>
        <v>#VALUE!</v>
      </c>
      <c r="AQ4" s="19" t="e">
        <f t="shared" si="5"/>
        <v>#VALUE!</v>
      </c>
      <c r="AR4" s="19">
        <f t="shared" si="5"/>
        <v>56.3</v>
      </c>
      <c r="AS4" s="19" t="e">
        <f t="shared" si="5"/>
        <v>#VALUE!</v>
      </c>
      <c r="AT4" s="19" t="e">
        <f t="shared" si="5"/>
        <v>#VALUE!</v>
      </c>
      <c r="AU4" s="19">
        <f t="shared" si="5"/>
        <v>-25</v>
      </c>
      <c r="AV4" s="19">
        <f t="shared" si="5"/>
        <v>62.5</v>
      </c>
      <c r="AW4" s="19">
        <f t="shared" ref="AW4:BK6" si="6">ROUND(SUMPRODUCT(($D$12:$D$30=$C4)*AW$12:AW$30*$G$12:$G$30*25),1)</f>
        <v>81.3</v>
      </c>
      <c r="AX4" s="19" t="e">
        <f t="shared" si="6"/>
        <v>#VALUE!</v>
      </c>
      <c r="AY4" s="19" t="e">
        <f t="shared" si="6"/>
        <v>#VALUE!</v>
      </c>
      <c r="AZ4" s="19" t="e">
        <f t="shared" si="6"/>
        <v>#VALUE!</v>
      </c>
      <c r="BA4" s="19" t="e">
        <f t="shared" si="6"/>
        <v>#VALUE!</v>
      </c>
      <c r="BB4" s="19" t="e">
        <f t="shared" si="6"/>
        <v>#VALUE!</v>
      </c>
      <c r="BC4" s="19" t="e">
        <f t="shared" si="6"/>
        <v>#VALUE!</v>
      </c>
      <c r="BD4" s="19" t="e">
        <f t="shared" si="6"/>
        <v>#VALUE!</v>
      </c>
      <c r="BE4" s="19" t="e">
        <f t="shared" si="6"/>
        <v>#VALUE!</v>
      </c>
      <c r="BF4" s="19" t="e">
        <f t="shared" si="6"/>
        <v>#VALUE!</v>
      </c>
      <c r="BG4" s="19" t="e">
        <f t="shared" si="6"/>
        <v>#VALUE!</v>
      </c>
      <c r="BH4" s="19">
        <f t="shared" si="6"/>
        <v>37.5</v>
      </c>
      <c r="BI4" s="19">
        <f t="shared" si="6"/>
        <v>31.3</v>
      </c>
      <c r="BJ4" s="19" t="e">
        <f t="shared" si="6"/>
        <v>#VALUE!</v>
      </c>
      <c r="BK4" s="19" t="e">
        <f t="shared" si="6"/>
        <v>#VALUE!</v>
      </c>
    </row>
    <row r="5" spans="1:63">
      <c r="C5" t="str">
        <f ca="1">tblIndByType!A4</f>
        <v>IC00</v>
      </c>
      <c r="D5" s="4" t="s">
        <v>906</v>
      </c>
      <c r="E5">
        <f ca="1">MATCH(C5,Weights!C$4:C$89,0)</f>
        <v>2</v>
      </c>
      <c r="F5">
        <f ca="1">INDEX(Weights!G$4:G$89,E5)</f>
        <v>2</v>
      </c>
      <c r="G5">
        <f>F5/SUMIF(D$4:D$6,D5,F$4:F$6)</f>
        <v>0.2</v>
      </c>
      <c r="H5" t="str">
        <f ca="1">tblIndByType!C4</f>
        <v>Investment Climate</v>
      </c>
      <c r="I5" s="19">
        <f t="shared" si="2"/>
        <v>46.7</v>
      </c>
      <c r="J5" s="19" t="e">
        <f t="shared" si="2"/>
        <v>#VALUE!</v>
      </c>
      <c r="K5" s="19" t="e">
        <f t="shared" si="2"/>
        <v>#VALUE!</v>
      </c>
      <c r="L5" s="19" t="e">
        <f t="shared" si="2"/>
        <v>#VALUE!</v>
      </c>
      <c r="M5" s="19">
        <f t="shared" si="2"/>
        <v>47.1</v>
      </c>
      <c r="N5" s="19" t="e">
        <f t="shared" si="2"/>
        <v>#VALUE!</v>
      </c>
      <c r="O5" s="19">
        <f t="shared" si="2"/>
        <v>62.1</v>
      </c>
      <c r="P5" s="19" t="e">
        <f t="shared" si="2"/>
        <v>#VALUE!</v>
      </c>
      <c r="Q5" s="19" t="e">
        <f t="shared" si="2"/>
        <v>#VALUE!</v>
      </c>
      <c r="R5" s="19">
        <f t="shared" si="2"/>
        <v>75</v>
      </c>
      <c r="S5" s="19" t="e">
        <f t="shared" si="3"/>
        <v>#VALUE!</v>
      </c>
      <c r="T5" s="19">
        <f t="shared" si="3"/>
        <v>47.1</v>
      </c>
      <c r="U5" s="19">
        <f t="shared" si="3"/>
        <v>-25</v>
      </c>
      <c r="V5" s="19">
        <f t="shared" si="3"/>
        <v>37.5</v>
      </c>
      <c r="W5" s="19" t="e">
        <f t="shared" si="3"/>
        <v>#VALUE!</v>
      </c>
      <c r="X5" s="19">
        <f t="shared" si="3"/>
        <v>41.3</v>
      </c>
      <c r="Y5" s="19">
        <f t="shared" si="3"/>
        <v>49.2</v>
      </c>
      <c r="Z5" s="19" t="e">
        <f t="shared" si="3"/>
        <v>#VALUE!</v>
      </c>
      <c r="AA5" s="19" t="e">
        <f t="shared" si="3"/>
        <v>#VALUE!</v>
      </c>
      <c r="AB5" s="19" t="e">
        <f t="shared" si="3"/>
        <v>#VALUE!</v>
      </c>
      <c r="AC5" s="19">
        <f t="shared" si="4"/>
        <v>40.799999999999997</v>
      </c>
      <c r="AD5" s="19">
        <f t="shared" si="4"/>
        <v>-25</v>
      </c>
      <c r="AE5" s="19">
        <f t="shared" si="4"/>
        <v>-25</v>
      </c>
      <c r="AF5" s="19" t="e">
        <f t="shared" si="4"/>
        <v>#VALUE!</v>
      </c>
      <c r="AG5" s="19" t="e">
        <f t="shared" si="4"/>
        <v>#VALUE!</v>
      </c>
      <c r="AH5" s="19">
        <f t="shared" si="4"/>
        <v>-25</v>
      </c>
      <c r="AI5" s="19" t="e">
        <f t="shared" si="4"/>
        <v>#VALUE!</v>
      </c>
      <c r="AJ5" s="19" t="e">
        <f t="shared" si="4"/>
        <v>#VALUE!</v>
      </c>
      <c r="AK5" s="19" t="e">
        <f t="shared" si="4"/>
        <v>#VALUE!</v>
      </c>
      <c r="AL5" s="19" t="e">
        <f t="shared" si="4"/>
        <v>#VALUE!</v>
      </c>
      <c r="AM5" s="19">
        <f t="shared" si="5"/>
        <v>58.3</v>
      </c>
      <c r="AN5" s="19" t="e">
        <f t="shared" si="5"/>
        <v>#VALUE!</v>
      </c>
      <c r="AO5" s="19" t="e">
        <f t="shared" si="5"/>
        <v>#VALUE!</v>
      </c>
      <c r="AP5" s="19" t="e">
        <f t="shared" si="5"/>
        <v>#VALUE!</v>
      </c>
      <c r="AQ5" s="19" t="e">
        <f t="shared" si="5"/>
        <v>#VALUE!</v>
      </c>
      <c r="AR5" s="19">
        <f t="shared" si="5"/>
        <v>40</v>
      </c>
      <c r="AS5" s="19" t="e">
        <f t="shared" si="5"/>
        <v>#VALUE!</v>
      </c>
      <c r="AT5" s="19" t="e">
        <f t="shared" si="5"/>
        <v>#VALUE!</v>
      </c>
      <c r="AU5" s="19">
        <f t="shared" si="5"/>
        <v>-25</v>
      </c>
      <c r="AV5" s="19">
        <f t="shared" si="5"/>
        <v>39.6</v>
      </c>
      <c r="AW5" s="19">
        <f t="shared" si="6"/>
        <v>57.9</v>
      </c>
      <c r="AX5" s="19" t="e">
        <f t="shared" si="6"/>
        <v>#VALUE!</v>
      </c>
      <c r="AY5" s="19" t="e">
        <f t="shared" si="6"/>
        <v>#VALUE!</v>
      </c>
      <c r="AZ5" s="19" t="e">
        <f t="shared" si="6"/>
        <v>#VALUE!</v>
      </c>
      <c r="BA5" s="19" t="e">
        <f t="shared" si="6"/>
        <v>#VALUE!</v>
      </c>
      <c r="BB5" s="19" t="e">
        <f t="shared" si="6"/>
        <v>#VALUE!</v>
      </c>
      <c r="BC5" s="19" t="e">
        <f t="shared" si="6"/>
        <v>#VALUE!</v>
      </c>
      <c r="BD5" s="19" t="e">
        <f t="shared" si="6"/>
        <v>#VALUE!</v>
      </c>
      <c r="BE5" s="19" t="e">
        <f t="shared" si="6"/>
        <v>#VALUE!</v>
      </c>
      <c r="BF5" s="19" t="e">
        <f t="shared" si="6"/>
        <v>#VALUE!</v>
      </c>
      <c r="BG5" s="19" t="e">
        <f t="shared" si="6"/>
        <v>#VALUE!</v>
      </c>
      <c r="BH5" s="19">
        <f t="shared" si="6"/>
        <v>54.2</v>
      </c>
      <c r="BI5" s="19">
        <f t="shared" si="6"/>
        <v>41.3</v>
      </c>
      <c r="BJ5" s="19" t="e">
        <f t="shared" si="6"/>
        <v>#VALUE!</v>
      </c>
      <c r="BK5" s="19" t="e">
        <f t="shared" si="6"/>
        <v>#VALUE!</v>
      </c>
    </row>
    <row r="6" spans="1:63">
      <c r="C6" t="str">
        <f ca="1">tblIndByType!A5</f>
        <v>ID00</v>
      </c>
      <c r="D6" s="4" t="s">
        <v>906</v>
      </c>
      <c r="E6">
        <f ca="1">MATCH(C6,Weights!C$4:C$89,0)</f>
        <v>3</v>
      </c>
      <c r="F6">
        <f ca="1">INDEX(Weights!G$4:G$89,E6)</f>
        <v>4</v>
      </c>
      <c r="G6">
        <f>F6/SUMIF(D$4:D$6,D6,F$4:F$6)</f>
        <v>0.4</v>
      </c>
      <c r="H6" t="str">
        <f ca="1">tblIndByType!C5</f>
        <v>Institutional Development</v>
      </c>
      <c r="I6" s="19">
        <f t="shared" si="2"/>
        <v>25</v>
      </c>
      <c r="J6" s="19" t="e">
        <f t="shared" si="2"/>
        <v>#VALUE!</v>
      </c>
      <c r="K6" s="19" t="e">
        <f t="shared" si="2"/>
        <v>#VALUE!</v>
      </c>
      <c r="L6" s="19" t="e">
        <f t="shared" si="2"/>
        <v>#VALUE!</v>
      </c>
      <c r="M6" s="19">
        <f t="shared" si="2"/>
        <v>75</v>
      </c>
      <c r="N6" s="19" t="e">
        <f t="shared" si="2"/>
        <v>#VALUE!</v>
      </c>
      <c r="O6" s="19">
        <f t="shared" si="2"/>
        <v>33.299999999999997</v>
      </c>
      <c r="P6" s="19" t="e">
        <f t="shared" si="2"/>
        <v>#VALUE!</v>
      </c>
      <c r="Q6" s="19" t="e">
        <f t="shared" si="2"/>
        <v>#VALUE!</v>
      </c>
      <c r="R6" s="19">
        <f t="shared" si="2"/>
        <v>33.299999999999997</v>
      </c>
      <c r="S6" s="19" t="e">
        <f t="shared" si="3"/>
        <v>#VALUE!</v>
      </c>
      <c r="T6" s="19">
        <f t="shared" si="3"/>
        <v>41.7</v>
      </c>
      <c r="U6" s="19">
        <f t="shared" si="3"/>
        <v>-25</v>
      </c>
      <c r="V6" s="19">
        <f t="shared" si="3"/>
        <v>75</v>
      </c>
      <c r="W6" s="19" t="e">
        <f t="shared" si="3"/>
        <v>#VALUE!</v>
      </c>
      <c r="X6" s="19">
        <f t="shared" si="3"/>
        <v>75</v>
      </c>
      <c r="Y6" s="19">
        <f t="shared" si="3"/>
        <v>66.7</v>
      </c>
      <c r="Z6" s="19" t="e">
        <f t="shared" si="3"/>
        <v>#VALUE!</v>
      </c>
      <c r="AA6" s="19" t="e">
        <f t="shared" si="3"/>
        <v>#VALUE!</v>
      </c>
      <c r="AB6" s="19" t="e">
        <f t="shared" si="3"/>
        <v>#VALUE!</v>
      </c>
      <c r="AC6" s="19">
        <f t="shared" si="4"/>
        <v>33.299999999999997</v>
      </c>
      <c r="AD6" s="19">
        <f t="shared" si="4"/>
        <v>-25</v>
      </c>
      <c r="AE6" s="19">
        <f t="shared" si="4"/>
        <v>-25</v>
      </c>
      <c r="AF6" s="19" t="e">
        <f t="shared" si="4"/>
        <v>#VALUE!</v>
      </c>
      <c r="AG6" s="19" t="e">
        <f t="shared" si="4"/>
        <v>#VALUE!</v>
      </c>
      <c r="AH6" s="19">
        <f t="shared" si="4"/>
        <v>-25</v>
      </c>
      <c r="AI6" s="19" t="e">
        <f t="shared" si="4"/>
        <v>#VALUE!</v>
      </c>
      <c r="AJ6" s="19" t="e">
        <f t="shared" si="4"/>
        <v>#VALUE!</v>
      </c>
      <c r="AK6" s="19" t="e">
        <f t="shared" si="4"/>
        <v>#VALUE!</v>
      </c>
      <c r="AL6" s="19" t="e">
        <f t="shared" si="4"/>
        <v>#VALUE!</v>
      </c>
      <c r="AM6" s="19">
        <f t="shared" si="5"/>
        <v>41.7</v>
      </c>
      <c r="AN6" s="19" t="e">
        <f t="shared" si="5"/>
        <v>#VALUE!</v>
      </c>
      <c r="AO6" s="19" t="e">
        <f t="shared" si="5"/>
        <v>#VALUE!</v>
      </c>
      <c r="AP6" s="19" t="e">
        <f t="shared" si="5"/>
        <v>#VALUE!</v>
      </c>
      <c r="AQ6" s="19" t="e">
        <f t="shared" si="5"/>
        <v>#VALUE!</v>
      </c>
      <c r="AR6" s="19">
        <f t="shared" si="5"/>
        <v>58.3</v>
      </c>
      <c r="AS6" s="19" t="e">
        <f t="shared" si="5"/>
        <v>#VALUE!</v>
      </c>
      <c r="AT6" s="19" t="e">
        <f t="shared" si="5"/>
        <v>#VALUE!</v>
      </c>
      <c r="AU6" s="19">
        <f t="shared" si="5"/>
        <v>-25</v>
      </c>
      <c r="AV6" s="19">
        <f t="shared" si="5"/>
        <v>50</v>
      </c>
      <c r="AW6" s="19">
        <f t="shared" si="6"/>
        <v>75</v>
      </c>
      <c r="AX6" s="19" t="e">
        <f t="shared" si="6"/>
        <v>#VALUE!</v>
      </c>
      <c r="AY6" s="19" t="e">
        <f t="shared" si="6"/>
        <v>#VALUE!</v>
      </c>
      <c r="AZ6" s="19" t="e">
        <f t="shared" si="6"/>
        <v>#VALUE!</v>
      </c>
      <c r="BA6" s="19" t="e">
        <f t="shared" si="6"/>
        <v>#VALUE!</v>
      </c>
      <c r="BB6" s="19" t="e">
        <f t="shared" si="6"/>
        <v>#VALUE!</v>
      </c>
      <c r="BC6" s="19" t="e">
        <f t="shared" si="6"/>
        <v>#VALUE!</v>
      </c>
      <c r="BD6" s="19" t="e">
        <f t="shared" si="6"/>
        <v>#VALUE!</v>
      </c>
      <c r="BE6" s="19" t="e">
        <f t="shared" si="6"/>
        <v>#VALUE!</v>
      </c>
      <c r="BF6" s="19" t="e">
        <f t="shared" si="6"/>
        <v>#VALUE!</v>
      </c>
      <c r="BG6" s="19" t="e">
        <f t="shared" si="6"/>
        <v>#VALUE!</v>
      </c>
      <c r="BH6" s="19">
        <f t="shared" si="6"/>
        <v>25</v>
      </c>
      <c r="BI6" s="19">
        <f t="shared" si="6"/>
        <v>16.7</v>
      </c>
      <c r="BJ6" s="19" t="e">
        <f t="shared" si="6"/>
        <v>#VALUE!</v>
      </c>
      <c r="BK6" s="19" t="e">
        <f t="shared" si="6"/>
        <v>#VALUE!</v>
      </c>
    </row>
    <row r="9" spans="1:63">
      <c r="E9" s="1" t="s">
        <v>941</v>
      </c>
      <c r="F9" s="1" t="s">
        <v>942</v>
      </c>
      <c r="G9" s="1" t="s">
        <v>943</v>
      </c>
    </row>
    <row r="10" spans="1:63">
      <c r="A10">
        <f ca="1">tblIndicators!A2</f>
        <v>1</v>
      </c>
      <c r="B10">
        <f ca="1">tblIndicators!B2</f>
        <v>0</v>
      </c>
      <c r="C10" t="str">
        <f ca="1">tblIndicators!C2</f>
        <v>OVERALL</v>
      </c>
      <c r="D10">
        <f ca="1">tblIndicators!D2</f>
        <v>0</v>
      </c>
      <c r="F10">
        <v>1</v>
      </c>
      <c r="H10" t="str">
        <f ca="1">tblIndicators!K2</f>
        <v>Overall score</v>
      </c>
    </row>
    <row r="11" spans="1:63">
      <c r="A11">
        <f ca="1">tblIndicators!A3</f>
        <v>2</v>
      </c>
      <c r="B11">
        <f ca="1">tblIndicators!B3</f>
        <v>1</v>
      </c>
      <c r="C11" t="str">
        <f ca="1">tblIndicators!C3</f>
        <v>RF00</v>
      </c>
      <c r="D11" t="str">
        <f ca="1">tblIndicators!D3</f>
        <v>OVERALL</v>
      </c>
      <c r="E11">
        <f ca="1">MATCH(C11,Weights!C$4:C$89,0)</f>
        <v>1</v>
      </c>
      <c r="F11">
        <f ca="1">INDEX(Weights!G$4:G$89,E11)</f>
        <v>4</v>
      </c>
      <c r="G11">
        <f>F11/SUMIF(D$11:D$26,D11,F$11:F$26)</f>
        <v>0.4</v>
      </c>
      <c r="H11" t="str">
        <f ca="1">tblIndicators!K3</f>
        <v xml:space="preserve">     Regulatory Framework </v>
      </c>
    </row>
    <row r="12" spans="1:63">
      <c r="A12">
        <f ca="1">tblIndicators!A4</f>
        <v>3</v>
      </c>
      <c r="B12">
        <f ca="1">tblIndicators!B4</f>
        <v>2</v>
      </c>
      <c r="C12" t="str">
        <f ca="1">tblIndicators!C4</f>
        <v>RF01</v>
      </c>
      <c r="D12" t="str">
        <f ca="1">tblIndicators!D4</f>
        <v>RF00</v>
      </c>
      <c r="E12">
        <f ca="1">MATCH(C12,Weights!C$4:C$89,0)</f>
        <v>7</v>
      </c>
      <c r="F12">
        <f ca="1">INDEX(Weights!G$4:G$89,E12)</f>
        <v>1</v>
      </c>
      <c r="G12">
        <f t="shared" ref="G12:G26" si="7">F12/SUMIF(D$11:D$26,D12,F$11:F$26)</f>
        <v>0.25</v>
      </c>
      <c r="H12" t="str">
        <f ca="1">tblIndicators!K4</f>
        <v xml:space="preserve">          Regulation of microcredit operations</v>
      </c>
      <c r="I12" s="19">
        <v>1</v>
      </c>
      <c r="J12" s="19" t="s">
        <v>1140</v>
      </c>
      <c r="K12" s="19" t="s">
        <v>1140</v>
      </c>
      <c r="L12" s="19" t="s">
        <v>1140</v>
      </c>
      <c r="M12" s="19">
        <v>4</v>
      </c>
      <c r="N12" s="19" t="s">
        <v>1140</v>
      </c>
      <c r="O12" s="19">
        <v>2</v>
      </c>
      <c r="P12" s="19" t="s">
        <v>1140</v>
      </c>
      <c r="Q12" s="19" t="s">
        <v>1140</v>
      </c>
      <c r="R12" s="19">
        <v>2</v>
      </c>
      <c r="S12" s="19" t="s">
        <v>1140</v>
      </c>
      <c r="T12" s="19">
        <v>2</v>
      </c>
      <c r="U12" s="19">
        <v>-1</v>
      </c>
      <c r="V12" s="19">
        <v>3</v>
      </c>
      <c r="W12" s="19" t="s">
        <v>1140</v>
      </c>
      <c r="X12" s="19">
        <v>2</v>
      </c>
      <c r="Y12" s="19">
        <v>2</v>
      </c>
      <c r="Z12" s="19" t="s">
        <v>1140</v>
      </c>
      <c r="AA12" s="19" t="s">
        <v>1140</v>
      </c>
      <c r="AB12" s="19" t="s">
        <v>1140</v>
      </c>
      <c r="AC12" s="19">
        <v>3</v>
      </c>
      <c r="AD12" s="19">
        <v>-1</v>
      </c>
      <c r="AE12" s="19">
        <v>-1</v>
      </c>
      <c r="AF12" s="19" t="s">
        <v>1140</v>
      </c>
      <c r="AG12" s="19" t="s">
        <v>1140</v>
      </c>
      <c r="AH12" s="19">
        <v>-1</v>
      </c>
      <c r="AI12" s="19" t="s">
        <v>1140</v>
      </c>
      <c r="AJ12" s="19" t="s">
        <v>1140</v>
      </c>
      <c r="AK12" s="19" t="s">
        <v>1140</v>
      </c>
      <c r="AL12" s="19" t="s">
        <v>1140</v>
      </c>
      <c r="AM12" s="19">
        <v>2</v>
      </c>
      <c r="AN12" s="19" t="s">
        <v>1140</v>
      </c>
      <c r="AO12" s="19" t="s">
        <v>1140</v>
      </c>
      <c r="AP12" s="19" t="s">
        <v>1140</v>
      </c>
      <c r="AQ12" s="19" t="s">
        <v>1140</v>
      </c>
      <c r="AR12" s="19">
        <v>2</v>
      </c>
      <c r="AS12" s="19" t="s">
        <v>1140</v>
      </c>
      <c r="AT12" s="19" t="s">
        <v>1140</v>
      </c>
      <c r="AU12" s="19">
        <v>-1</v>
      </c>
      <c r="AV12" s="19">
        <v>3</v>
      </c>
      <c r="AW12" s="19">
        <v>4</v>
      </c>
      <c r="AX12" s="19" t="s">
        <v>1140</v>
      </c>
      <c r="AY12" s="19" t="s">
        <v>1140</v>
      </c>
      <c r="AZ12" s="19" t="s">
        <v>1140</v>
      </c>
      <c r="BA12" s="19" t="s">
        <v>1140</v>
      </c>
      <c r="BB12" s="19" t="s">
        <v>1140</v>
      </c>
      <c r="BC12" s="19" t="s">
        <v>1140</v>
      </c>
      <c r="BD12" s="19" t="s">
        <v>1140</v>
      </c>
      <c r="BE12" s="19" t="s">
        <v>1140</v>
      </c>
      <c r="BF12" s="19" t="s">
        <v>1140</v>
      </c>
      <c r="BG12" s="19" t="s">
        <v>1140</v>
      </c>
      <c r="BH12" s="19">
        <v>3</v>
      </c>
      <c r="BI12" s="19">
        <v>1</v>
      </c>
      <c r="BJ12" s="19" t="s">
        <v>1140</v>
      </c>
      <c r="BK12" s="19" t="s">
        <v>1140</v>
      </c>
    </row>
    <row r="13" spans="1:63">
      <c r="A13">
        <f ca="1">tblIndicators!A5</f>
        <v>4</v>
      </c>
      <c r="B13">
        <f ca="1">tblIndicators!B5</f>
        <v>2</v>
      </c>
      <c r="C13" t="str">
        <f ca="1">tblIndicators!C5</f>
        <v>RF02</v>
      </c>
      <c r="D13" t="str">
        <f ca="1">tblIndicators!D5</f>
        <v>RF00</v>
      </c>
      <c r="E13">
        <f ca="1">MATCH(C13,Weights!C$4:C$89,0)</f>
        <v>8</v>
      </c>
      <c r="F13">
        <f ca="1">INDEX(Weights!G$4:G$89,E13)</f>
        <v>1</v>
      </c>
      <c r="G13">
        <f t="shared" si="7"/>
        <v>0.25</v>
      </c>
      <c r="H13" t="str">
        <f ca="1">tblIndicators!K5</f>
        <v xml:space="preserve">          Formation and operation of regulated, specialised MFIs</v>
      </c>
      <c r="I13" s="19">
        <v>1</v>
      </c>
      <c r="J13" s="19" t="s">
        <v>1140</v>
      </c>
      <c r="K13" s="19" t="s">
        <v>1140</v>
      </c>
      <c r="L13" s="19" t="s">
        <v>1140</v>
      </c>
      <c r="M13" s="19">
        <v>4</v>
      </c>
      <c r="N13" s="19" t="s">
        <v>1140</v>
      </c>
      <c r="O13" s="19">
        <v>2</v>
      </c>
      <c r="P13" s="19" t="s">
        <v>1140</v>
      </c>
      <c r="Q13" s="19" t="s">
        <v>1140</v>
      </c>
      <c r="R13" s="19">
        <v>1</v>
      </c>
      <c r="S13" s="19" t="s">
        <v>1140</v>
      </c>
      <c r="T13" s="19">
        <v>1</v>
      </c>
      <c r="U13" s="19">
        <v>-1</v>
      </c>
      <c r="V13" s="19">
        <v>2</v>
      </c>
      <c r="W13" s="19" t="s">
        <v>1140</v>
      </c>
      <c r="X13" s="19">
        <v>3</v>
      </c>
      <c r="Y13" s="19">
        <v>3</v>
      </c>
      <c r="Z13" s="19" t="s">
        <v>1140</v>
      </c>
      <c r="AA13" s="19" t="s">
        <v>1140</v>
      </c>
      <c r="AB13" s="19" t="s">
        <v>1140</v>
      </c>
      <c r="AC13" s="19">
        <v>1</v>
      </c>
      <c r="AD13" s="19">
        <v>-1</v>
      </c>
      <c r="AE13" s="19">
        <v>-1</v>
      </c>
      <c r="AF13" s="19" t="s">
        <v>1140</v>
      </c>
      <c r="AG13" s="19" t="s">
        <v>1140</v>
      </c>
      <c r="AH13" s="19">
        <v>-1</v>
      </c>
      <c r="AI13" s="19" t="s">
        <v>1140</v>
      </c>
      <c r="AJ13" s="19" t="s">
        <v>1140</v>
      </c>
      <c r="AK13" s="19" t="s">
        <v>1140</v>
      </c>
      <c r="AL13" s="19" t="s">
        <v>1140</v>
      </c>
      <c r="AM13" s="19">
        <v>2</v>
      </c>
      <c r="AN13" s="19" t="s">
        <v>1140</v>
      </c>
      <c r="AO13" s="19" t="s">
        <v>1140</v>
      </c>
      <c r="AP13" s="19" t="s">
        <v>1140</v>
      </c>
      <c r="AQ13" s="19" t="s">
        <v>1140</v>
      </c>
      <c r="AR13" s="19">
        <v>2</v>
      </c>
      <c r="AS13" s="19" t="s">
        <v>1140</v>
      </c>
      <c r="AT13" s="19" t="s">
        <v>1140</v>
      </c>
      <c r="AU13" s="19">
        <v>-1</v>
      </c>
      <c r="AV13" s="19">
        <v>2</v>
      </c>
      <c r="AW13" s="19">
        <v>3</v>
      </c>
      <c r="AX13" s="19" t="s">
        <v>1140</v>
      </c>
      <c r="AY13" s="19" t="s">
        <v>1140</v>
      </c>
      <c r="AZ13" s="19" t="s">
        <v>1140</v>
      </c>
      <c r="BA13" s="19" t="s">
        <v>1140</v>
      </c>
      <c r="BB13" s="19" t="s">
        <v>1140</v>
      </c>
      <c r="BC13" s="19" t="s">
        <v>1140</v>
      </c>
      <c r="BD13" s="19" t="s">
        <v>1140</v>
      </c>
      <c r="BE13" s="19" t="s">
        <v>1140</v>
      </c>
      <c r="BF13" s="19" t="s">
        <v>1140</v>
      </c>
      <c r="BG13" s="19" t="s">
        <v>1140</v>
      </c>
      <c r="BH13" s="19">
        <v>1</v>
      </c>
      <c r="BI13" s="19">
        <v>1</v>
      </c>
      <c r="BJ13" s="19" t="s">
        <v>1140</v>
      </c>
      <c r="BK13" s="19" t="s">
        <v>1140</v>
      </c>
    </row>
    <row r="14" spans="1:63">
      <c r="A14">
        <f ca="1">tblIndicators!A6</f>
        <v>5</v>
      </c>
      <c r="B14">
        <f ca="1">tblIndicators!B6</f>
        <v>2</v>
      </c>
      <c r="C14" t="str">
        <f ca="1">tblIndicators!C6</f>
        <v>RF03</v>
      </c>
      <c r="D14" t="str">
        <f ca="1">tblIndicators!D6</f>
        <v>RF00</v>
      </c>
      <c r="E14">
        <f ca="1">MATCH(C14,Weights!C$4:C$89,0)</f>
        <v>9</v>
      </c>
      <c r="F14">
        <f ca="1">INDEX(Weights!G$4:G$89,E14)</f>
        <v>1</v>
      </c>
      <c r="G14">
        <f t="shared" si="7"/>
        <v>0.25</v>
      </c>
      <c r="H14" t="str">
        <f ca="1">tblIndicators!K6</f>
        <v xml:space="preserve">          Formation and operation of non-regulated MFIs</v>
      </c>
      <c r="I14" s="19">
        <v>1</v>
      </c>
      <c r="J14" s="19" t="s">
        <v>1140</v>
      </c>
      <c r="K14" s="19" t="s">
        <v>1140</v>
      </c>
      <c r="L14" s="19" t="s">
        <v>1140</v>
      </c>
      <c r="M14" s="19">
        <v>4</v>
      </c>
      <c r="N14" s="19" t="s">
        <v>1140</v>
      </c>
      <c r="O14" s="19">
        <v>2</v>
      </c>
      <c r="P14" s="19" t="s">
        <v>1140</v>
      </c>
      <c r="Q14" s="19" t="s">
        <v>1140</v>
      </c>
      <c r="R14" s="19">
        <v>3</v>
      </c>
      <c r="S14" s="19" t="s">
        <v>1140</v>
      </c>
      <c r="T14" s="19">
        <v>3</v>
      </c>
      <c r="U14" s="19">
        <v>-1</v>
      </c>
      <c r="V14" s="19">
        <v>3</v>
      </c>
      <c r="W14" s="19" t="s">
        <v>1140</v>
      </c>
      <c r="X14" s="19">
        <v>4</v>
      </c>
      <c r="Y14" s="19">
        <v>3</v>
      </c>
      <c r="Z14" s="19" t="s">
        <v>1140</v>
      </c>
      <c r="AA14" s="19" t="s">
        <v>1140</v>
      </c>
      <c r="AB14" s="19" t="s">
        <v>1140</v>
      </c>
      <c r="AC14" s="19">
        <v>4</v>
      </c>
      <c r="AD14" s="19">
        <v>-1</v>
      </c>
      <c r="AE14" s="19">
        <v>-1</v>
      </c>
      <c r="AF14" s="19" t="s">
        <v>1140</v>
      </c>
      <c r="AG14" s="19" t="s">
        <v>1140</v>
      </c>
      <c r="AH14" s="19">
        <v>-1</v>
      </c>
      <c r="AI14" s="19" t="s">
        <v>1140</v>
      </c>
      <c r="AJ14" s="19" t="s">
        <v>1140</v>
      </c>
      <c r="AK14" s="19" t="s">
        <v>1140</v>
      </c>
      <c r="AL14" s="19" t="s">
        <v>1140</v>
      </c>
      <c r="AM14" s="19">
        <v>2</v>
      </c>
      <c r="AN14" s="19" t="s">
        <v>1140</v>
      </c>
      <c r="AO14" s="19" t="s">
        <v>1140</v>
      </c>
      <c r="AP14" s="19" t="s">
        <v>1140</v>
      </c>
      <c r="AQ14" s="19" t="s">
        <v>1140</v>
      </c>
      <c r="AR14" s="19">
        <v>3</v>
      </c>
      <c r="AS14" s="19" t="s">
        <v>1140</v>
      </c>
      <c r="AT14" s="19" t="s">
        <v>1140</v>
      </c>
      <c r="AU14" s="19">
        <v>-1</v>
      </c>
      <c r="AV14" s="19">
        <v>3</v>
      </c>
      <c r="AW14" s="19">
        <v>2</v>
      </c>
      <c r="AX14" s="19" t="s">
        <v>1140</v>
      </c>
      <c r="AY14" s="19" t="s">
        <v>1140</v>
      </c>
      <c r="AZ14" s="19" t="s">
        <v>1140</v>
      </c>
      <c r="BA14" s="19" t="s">
        <v>1140</v>
      </c>
      <c r="BB14" s="19" t="s">
        <v>1140</v>
      </c>
      <c r="BC14" s="19" t="s">
        <v>1140</v>
      </c>
      <c r="BD14" s="19" t="s">
        <v>1140</v>
      </c>
      <c r="BE14" s="19" t="s">
        <v>1140</v>
      </c>
      <c r="BF14" s="19" t="s">
        <v>1140</v>
      </c>
      <c r="BG14" s="19" t="s">
        <v>1140</v>
      </c>
      <c r="BH14" s="19">
        <v>1</v>
      </c>
      <c r="BI14" s="19">
        <v>1</v>
      </c>
      <c r="BJ14" s="19" t="s">
        <v>1140</v>
      </c>
      <c r="BK14" s="19" t="s">
        <v>1140</v>
      </c>
    </row>
    <row r="15" spans="1:63">
      <c r="A15">
        <f ca="1">tblIndicators!A7</f>
        <v>6</v>
      </c>
      <c r="B15">
        <f ca="1">tblIndicators!B7</f>
        <v>2</v>
      </c>
      <c r="C15" t="str">
        <f ca="1">tblIndicators!C7</f>
        <v>RF04</v>
      </c>
      <c r="D15" t="str">
        <f ca="1">tblIndicators!D7</f>
        <v>RF00</v>
      </c>
      <c r="E15">
        <f ca="1">MATCH(C15,Weights!C$4:C$89,0)</f>
        <v>10</v>
      </c>
      <c r="F15">
        <f ca="1">INDEX(Weights!G$4:G$89,E15)</f>
        <v>1</v>
      </c>
      <c r="G15">
        <f t="shared" si="7"/>
        <v>0.25</v>
      </c>
      <c r="H15" t="str">
        <f ca="1">tblIndicators!K7</f>
        <v xml:space="preserve">          Regulatory and examination capacity</v>
      </c>
      <c r="I15" s="19">
        <v>0</v>
      </c>
      <c r="J15" s="19" t="s">
        <v>1140</v>
      </c>
      <c r="K15" s="19" t="s">
        <v>1140</v>
      </c>
      <c r="L15" s="19" t="s">
        <v>1140</v>
      </c>
      <c r="M15" s="19">
        <v>4</v>
      </c>
      <c r="N15" s="19" t="s">
        <v>1140</v>
      </c>
      <c r="O15" s="19">
        <v>1</v>
      </c>
      <c r="P15" s="19" t="s">
        <v>1140</v>
      </c>
      <c r="Q15" s="19" t="s">
        <v>1140</v>
      </c>
      <c r="R15" s="19">
        <v>2</v>
      </c>
      <c r="S15" s="19" t="s">
        <v>1140</v>
      </c>
      <c r="T15" s="19">
        <v>2</v>
      </c>
      <c r="U15" s="19">
        <v>-1</v>
      </c>
      <c r="V15" s="19">
        <v>0</v>
      </c>
      <c r="W15" s="19" t="s">
        <v>1140</v>
      </c>
      <c r="X15" s="19">
        <v>3</v>
      </c>
      <c r="Y15" s="19">
        <v>2</v>
      </c>
      <c r="Z15" s="19" t="s">
        <v>1140</v>
      </c>
      <c r="AA15" s="19" t="s">
        <v>1140</v>
      </c>
      <c r="AB15" s="19" t="s">
        <v>1140</v>
      </c>
      <c r="AC15" s="19">
        <v>1</v>
      </c>
      <c r="AD15" s="19">
        <v>-1</v>
      </c>
      <c r="AE15" s="19">
        <v>-1</v>
      </c>
      <c r="AF15" s="19" t="s">
        <v>1140</v>
      </c>
      <c r="AG15" s="19" t="s">
        <v>1140</v>
      </c>
      <c r="AH15" s="19">
        <v>-1</v>
      </c>
      <c r="AI15" s="19" t="s">
        <v>1140</v>
      </c>
      <c r="AJ15" s="19" t="s">
        <v>1140</v>
      </c>
      <c r="AK15" s="19" t="s">
        <v>1140</v>
      </c>
      <c r="AL15" s="19" t="s">
        <v>1140</v>
      </c>
      <c r="AM15" s="19">
        <v>2</v>
      </c>
      <c r="AN15" s="19" t="s">
        <v>1140</v>
      </c>
      <c r="AO15" s="19" t="s">
        <v>1140</v>
      </c>
      <c r="AP15" s="19" t="s">
        <v>1140</v>
      </c>
      <c r="AQ15" s="19" t="s">
        <v>1140</v>
      </c>
      <c r="AR15" s="19">
        <v>2</v>
      </c>
      <c r="AS15" s="19" t="s">
        <v>1140</v>
      </c>
      <c r="AT15" s="19" t="s">
        <v>1140</v>
      </c>
      <c r="AU15" s="19">
        <v>-1</v>
      </c>
      <c r="AV15" s="19">
        <v>2</v>
      </c>
      <c r="AW15" s="19">
        <v>4</v>
      </c>
      <c r="AX15" s="19" t="s">
        <v>1140</v>
      </c>
      <c r="AY15" s="19" t="s">
        <v>1140</v>
      </c>
      <c r="AZ15" s="19" t="s">
        <v>1140</v>
      </c>
      <c r="BA15" s="19" t="s">
        <v>1140</v>
      </c>
      <c r="BB15" s="19" t="s">
        <v>1140</v>
      </c>
      <c r="BC15" s="19" t="s">
        <v>1140</v>
      </c>
      <c r="BD15" s="19" t="s">
        <v>1140</v>
      </c>
      <c r="BE15" s="19" t="s">
        <v>1140</v>
      </c>
      <c r="BF15" s="19" t="s">
        <v>1140</v>
      </c>
      <c r="BG15" s="19" t="s">
        <v>1140</v>
      </c>
      <c r="BH15" s="19">
        <v>1</v>
      </c>
      <c r="BI15" s="19">
        <v>2</v>
      </c>
      <c r="BJ15" s="19" t="s">
        <v>1140</v>
      </c>
      <c r="BK15" s="19" t="s">
        <v>1140</v>
      </c>
    </row>
    <row r="16" spans="1:63">
      <c r="A16">
        <f ca="1">tblIndicators!A8</f>
        <v>7</v>
      </c>
      <c r="B16">
        <f ca="1">tblIndicators!B8</f>
        <v>1</v>
      </c>
      <c r="C16" t="str">
        <f ca="1">tblIndicators!C8</f>
        <v>IC00</v>
      </c>
      <c r="D16" t="str">
        <f ca="1">tblIndicators!D8</f>
        <v>OVERALL</v>
      </c>
      <c r="E16">
        <f ca="1">MATCH(C16,Weights!C$4:C$89,0)</f>
        <v>2</v>
      </c>
      <c r="F16">
        <f ca="1">INDEX(Weights!G$4:G$89,E16)</f>
        <v>2</v>
      </c>
      <c r="G16">
        <f t="shared" si="7"/>
        <v>0.2</v>
      </c>
      <c r="H16" t="str">
        <f ca="1">tblIndicators!K8</f>
        <v xml:space="preserve">     Investment Climate</v>
      </c>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row>
    <row r="17" spans="1:63">
      <c r="A17">
        <f ca="1">tblIndicators!A9</f>
        <v>8</v>
      </c>
      <c r="B17">
        <f ca="1">tblIndicators!B9</f>
        <v>2</v>
      </c>
      <c r="C17" t="str">
        <f ca="1">tblIndicators!C9</f>
        <v>IC01</v>
      </c>
      <c r="D17" t="str">
        <f ca="1">tblIndicators!D9</f>
        <v>IC00</v>
      </c>
      <c r="E17">
        <f ca="1">MATCH(C17,Weights!C$4:C$89,0)</f>
        <v>12</v>
      </c>
      <c r="F17">
        <f ca="1">INDEX(Weights!G$4:G$89,E17)</f>
        <v>1</v>
      </c>
      <c r="G17">
        <f t="shared" si="7"/>
        <v>0.16666666666666666</v>
      </c>
      <c r="H17" t="str">
        <f ca="1">tblIndicators!K9</f>
        <v xml:space="preserve">          Political stability</v>
      </c>
      <c r="I17" s="19">
        <v>2.2000000000000002</v>
      </c>
      <c r="J17" s="19" t="s">
        <v>1140</v>
      </c>
      <c r="K17" s="19" t="s">
        <v>1140</v>
      </c>
      <c r="L17" s="19" t="s">
        <v>1140</v>
      </c>
      <c r="M17" s="19">
        <v>1.2</v>
      </c>
      <c r="N17" s="19" t="s">
        <v>1140</v>
      </c>
      <c r="O17" s="19">
        <v>3</v>
      </c>
      <c r="P17" s="19" t="s">
        <v>1140</v>
      </c>
      <c r="Q17" s="19" t="s">
        <v>1140</v>
      </c>
      <c r="R17" s="19">
        <v>3.2</v>
      </c>
      <c r="S17" s="19" t="s">
        <v>1140</v>
      </c>
      <c r="T17" s="19">
        <v>2.2000000000000002</v>
      </c>
      <c r="U17" s="19">
        <v>-1</v>
      </c>
      <c r="V17" s="19">
        <v>2</v>
      </c>
      <c r="W17" s="19" t="s">
        <v>1140</v>
      </c>
      <c r="X17" s="19">
        <v>0.8</v>
      </c>
      <c r="Y17" s="19">
        <v>2.8</v>
      </c>
      <c r="Z17" s="19" t="s">
        <v>1140</v>
      </c>
      <c r="AA17" s="19" t="s">
        <v>1140</v>
      </c>
      <c r="AB17" s="19" t="s">
        <v>1140</v>
      </c>
      <c r="AC17" s="19">
        <v>1.6</v>
      </c>
      <c r="AD17" s="19">
        <v>-1</v>
      </c>
      <c r="AE17" s="19">
        <v>-1</v>
      </c>
      <c r="AF17" s="19" t="s">
        <v>1140</v>
      </c>
      <c r="AG17" s="19" t="s">
        <v>1140</v>
      </c>
      <c r="AH17" s="19">
        <v>-1</v>
      </c>
      <c r="AI17" s="19" t="s">
        <v>1140</v>
      </c>
      <c r="AJ17" s="19" t="s">
        <v>1140</v>
      </c>
      <c r="AK17" s="19" t="s">
        <v>1140</v>
      </c>
      <c r="AL17" s="19" t="s">
        <v>1140</v>
      </c>
      <c r="AM17" s="19">
        <v>2.6</v>
      </c>
      <c r="AN17" s="19" t="s">
        <v>1140</v>
      </c>
      <c r="AO17" s="19" t="s">
        <v>1140</v>
      </c>
      <c r="AP17" s="19" t="s">
        <v>1140</v>
      </c>
      <c r="AQ17" s="19" t="s">
        <v>1140</v>
      </c>
      <c r="AR17" s="19">
        <v>2</v>
      </c>
      <c r="AS17" s="19" t="s">
        <v>1140</v>
      </c>
      <c r="AT17" s="19" t="s">
        <v>1140</v>
      </c>
      <c r="AU17" s="19">
        <v>-1</v>
      </c>
      <c r="AV17" s="19">
        <v>1.8</v>
      </c>
      <c r="AW17" s="19">
        <v>2.2000000000000002</v>
      </c>
      <c r="AX17" s="19" t="s">
        <v>1140</v>
      </c>
      <c r="AY17" s="19" t="s">
        <v>1140</v>
      </c>
      <c r="AZ17" s="19" t="s">
        <v>1140</v>
      </c>
      <c r="BA17" s="19" t="s">
        <v>1140</v>
      </c>
      <c r="BB17" s="19" t="s">
        <v>1140</v>
      </c>
      <c r="BC17" s="19" t="s">
        <v>1140</v>
      </c>
      <c r="BD17" s="19" t="s">
        <v>1140</v>
      </c>
      <c r="BE17" s="19" t="s">
        <v>1140</v>
      </c>
      <c r="BF17" s="19" t="s">
        <v>1140</v>
      </c>
      <c r="BG17" s="19" t="s">
        <v>1140</v>
      </c>
      <c r="BH17" s="19">
        <v>2.8</v>
      </c>
      <c r="BI17" s="19">
        <v>1.4</v>
      </c>
      <c r="BJ17" s="19" t="s">
        <v>1140</v>
      </c>
      <c r="BK17" s="19" t="s">
        <v>1140</v>
      </c>
    </row>
    <row r="18" spans="1:63">
      <c r="A18">
        <f ca="1">tblIndicators!A10</f>
        <v>9</v>
      </c>
      <c r="B18">
        <f ca="1">tblIndicators!B10</f>
        <v>2</v>
      </c>
      <c r="C18" t="str">
        <f ca="1">tblIndicators!C10</f>
        <v>IC02</v>
      </c>
      <c r="D18" t="str">
        <f ca="1">tblIndicators!D10</f>
        <v>IC00</v>
      </c>
      <c r="E18">
        <f ca="1">MATCH(C18,Weights!C$4:C$89,0)</f>
        <v>13</v>
      </c>
      <c r="F18">
        <f ca="1">INDEX(Weights!G$4:G$89,E18)</f>
        <v>1</v>
      </c>
      <c r="G18">
        <f t="shared" si="7"/>
        <v>0.16666666666666666</v>
      </c>
      <c r="H18" t="str">
        <f ca="1">tblIndicators!K10</f>
        <v xml:space="preserve">          Capital market development</v>
      </c>
      <c r="I18" s="19">
        <v>2</v>
      </c>
      <c r="J18" s="19" t="s">
        <v>1140</v>
      </c>
      <c r="K18" s="19" t="s">
        <v>1140</v>
      </c>
      <c r="L18" s="19" t="s">
        <v>1140</v>
      </c>
      <c r="M18" s="19">
        <v>1.4</v>
      </c>
      <c r="N18" s="19" t="s">
        <v>1140</v>
      </c>
      <c r="O18" s="19">
        <v>2.2000000000000002</v>
      </c>
      <c r="P18" s="19" t="s">
        <v>1140</v>
      </c>
      <c r="Q18" s="19" t="s">
        <v>1140</v>
      </c>
      <c r="R18" s="19">
        <v>3.8</v>
      </c>
      <c r="S18" s="19" t="s">
        <v>1140</v>
      </c>
      <c r="T18" s="19">
        <v>1.8</v>
      </c>
      <c r="U18" s="19">
        <v>-1</v>
      </c>
      <c r="V18" s="19">
        <v>1</v>
      </c>
      <c r="W18" s="19" t="s">
        <v>1140</v>
      </c>
      <c r="X18" s="19">
        <v>0.8</v>
      </c>
      <c r="Y18" s="19">
        <v>2</v>
      </c>
      <c r="Z18" s="19" t="s">
        <v>1140</v>
      </c>
      <c r="AA18" s="19" t="s">
        <v>1140</v>
      </c>
      <c r="AB18" s="19" t="s">
        <v>1140</v>
      </c>
      <c r="AC18" s="19">
        <v>1.2</v>
      </c>
      <c r="AD18" s="19">
        <v>-1</v>
      </c>
      <c r="AE18" s="19">
        <v>-1</v>
      </c>
      <c r="AF18" s="19" t="s">
        <v>1140</v>
      </c>
      <c r="AG18" s="19" t="s">
        <v>1140</v>
      </c>
      <c r="AH18" s="19">
        <v>-1</v>
      </c>
      <c r="AI18" s="19" t="s">
        <v>1140</v>
      </c>
      <c r="AJ18" s="19" t="s">
        <v>1140</v>
      </c>
      <c r="AK18" s="19" t="s">
        <v>1140</v>
      </c>
      <c r="AL18" s="19" t="s">
        <v>1140</v>
      </c>
      <c r="AM18" s="19">
        <v>2.4</v>
      </c>
      <c r="AN18" s="19" t="s">
        <v>1140</v>
      </c>
      <c r="AO18" s="19" t="s">
        <v>1140</v>
      </c>
      <c r="AP18" s="19" t="s">
        <v>1140</v>
      </c>
      <c r="AQ18" s="19" t="s">
        <v>1140</v>
      </c>
      <c r="AR18" s="19">
        <v>1.6</v>
      </c>
      <c r="AS18" s="19" t="s">
        <v>1140</v>
      </c>
      <c r="AT18" s="19" t="s">
        <v>1140</v>
      </c>
      <c r="AU18" s="19">
        <v>-1</v>
      </c>
      <c r="AV18" s="19">
        <v>1.4</v>
      </c>
      <c r="AW18" s="19">
        <v>2.4</v>
      </c>
      <c r="AX18" s="19" t="s">
        <v>1140</v>
      </c>
      <c r="AY18" s="19" t="s">
        <v>1140</v>
      </c>
      <c r="AZ18" s="19" t="s">
        <v>1140</v>
      </c>
      <c r="BA18" s="19" t="s">
        <v>1140</v>
      </c>
      <c r="BB18" s="19" t="s">
        <v>1140</v>
      </c>
      <c r="BC18" s="19" t="s">
        <v>1140</v>
      </c>
      <c r="BD18" s="19" t="s">
        <v>1140</v>
      </c>
      <c r="BE18" s="19" t="s">
        <v>1140</v>
      </c>
      <c r="BF18" s="19" t="s">
        <v>1140</v>
      </c>
      <c r="BG18" s="19" t="s">
        <v>1140</v>
      </c>
      <c r="BH18" s="19">
        <v>1.2</v>
      </c>
      <c r="BI18" s="19">
        <v>1.2</v>
      </c>
      <c r="BJ18" s="19" t="s">
        <v>1140</v>
      </c>
      <c r="BK18" s="19" t="s">
        <v>1140</v>
      </c>
    </row>
    <row r="19" spans="1:63">
      <c r="A19">
        <f ca="1">tblIndicators!A11</f>
        <v>10</v>
      </c>
      <c r="B19">
        <f ca="1">tblIndicators!B11</f>
        <v>2</v>
      </c>
      <c r="C19" t="str">
        <f ca="1">tblIndicators!C11</f>
        <v>IC03</v>
      </c>
      <c r="D19" t="str">
        <f ca="1">tblIndicators!D11</f>
        <v>IC00</v>
      </c>
      <c r="E19">
        <f ca="1">MATCH(C19,Weights!C$4:C$89,0)</f>
        <v>14</v>
      </c>
      <c r="F19">
        <f ca="1">INDEX(Weights!G$4:G$89,E19)</f>
        <v>1</v>
      </c>
      <c r="G19">
        <f t="shared" si="7"/>
        <v>0.16666666666666666</v>
      </c>
      <c r="H19" t="str">
        <f ca="1">tblIndicators!K11</f>
        <v xml:space="preserve">          Judicial system</v>
      </c>
      <c r="I19" s="19">
        <v>1</v>
      </c>
      <c r="J19" s="19" t="s">
        <v>1140</v>
      </c>
      <c r="K19" s="19" t="s">
        <v>1140</v>
      </c>
      <c r="L19" s="19" t="s">
        <v>1140</v>
      </c>
      <c r="M19" s="19">
        <v>0.7</v>
      </c>
      <c r="N19" s="19" t="s">
        <v>1140</v>
      </c>
      <c r="O19" s="19">
        <v>1.7</v>
      </c>
      <c r="P19" s="19" t="s">
        <v>1140</v>
      </c>
      <c r="Q19" s="19" t="s">
        <v>1140</v>
      </c>
      <c r="R19" s="19">
        <v>3</v>
      </c>
      <c r="S19" s="19" t="s">
        <v>1140</v>
      </c>
      <c r="T19" s="19">
        <v>1.3</v>
      </c>
      <c r="U19" s="19">
        <v>-1</v>
      </c>
      <c r="V19" s="19">
        <v>1</v>
      </c>
      <c r="W19" s="19" t="s">
        <v>1140</v>
      </c>
      <c r="X19" s="19">
        <v>0.3</v>
      </c>
      <c r="Y19" s="19">
        <v>1</v>
      </c>
      <c r="Z19" s="19" t="s">
        <v>1140</v>
      </c>
      <c r="AA19" s="19" t="s">
        <v>1140</v>
      </c>
      <c r="AB19" s="19" t="s">
        <v>1140</v>
      </c>
      <c r="AC19" s="19">
        <v>1</v>
      </c>
      <c r="AD19" s="19">
        <v>-1</v>
      </c>
      <c r="AE19" s="19">
        <v>-1</v>
      </c>
      <c r="AF19" s="19" t="s">
        <v>1140</v>
      </c>
      <c r="AG19" s="19" t="s">
        <v>1140</v>
      </c>
      <c r="AH19" s="19">
        <v>-1</v>
      </c>
      <c r="AI19" s="19" t="s">
        <v>1140</v>
      </c>
      <c r="AJ19" s="19" t="s">
        <v>1140</v>
      </c>
      <c r="AK19" s="19" t="s">
        <v>1140</v>
      </c>
      <c r="AL19" s="19" t="s">
        <v>1140</v>
      </c>
      <c r="AM19" s="19">
        <v>2</v>
      </c>
      <c r="AN19" s="19" t="s">
        <v>1140</v>
      </c>
      <c r="AO19" s="19" t="s">
        <v>1140</v>
      </c>
      <c r="AP19" s="19" t="s">
        <v>1140</v>
      </c>
      <c r="AQ19" s="19" t="s">
        <v>1140</v>
      </c>
      <c r="AR19" s="19">
        <v>0</v>
      </c>
      <c r="AS19" s="19" t="s">
        <v>1140</v>
      </c>
      <c r="AT19" s="19" t="s">
        <v>1140</v>
      </c>
      <c r="AU19" s="19">
        <v>-1</v>
      </c>
      <c r="AV19" s="19">
        <v>1.3</v>
      </c>
      <c r="AW19" s="19">
        <v>0.3</v>
      </c>
      <c r="AX19" s="19" t="s">
        <v>1140</v>
      </c>
      <c r="AY19" s="19" t="s">
        <v>1140</v>
      </c>
      <c r="AZ19" s="19" t="s">
        <v>1140</v>
      </c>
      <c r="BA19" s="19" t="s">
        <v>1140</v>
      </c>
      <c r="BB19" s="19" t="s">
        <v>1140</v>
      </c>
      <c r="BC19" s="19" t="s">
        <v>1140</v>
      </c>
      <c r="BD19" s="19" t="s">
        <v>1140</v>
      </c>
      <c r="BE19" s="19" t="s">
        <v>1140</v>
      </c>
      <c r="BF19" s="19" t="s">
        <v>1140</v>
      </c>
      <c r="BG19" s="19" t="s">
        <v>1140</v>
      </c>
      <c r="BH19" s="19">
        <v>2</v>
      </c>
      <c r="BI19" s="19">
        <v>0.3</v>
      </c>
      <c r="BJ19" s="19" t="s">
        <v>1140</v>
      </c>
      <c r="BK19" s="19" t="s">
        <v>1140</v>
      </c>
    </row>
    <row r="20" spans="1:63">
      <c r="A20">
        <f ca="1">tblIndicators!A12</f>
        <v>11</v>
      </c>
      <c r="B20">
        <f ca="1">tblIndicators!B12</f>
        <v>2</v>
      </c>
      <c r="C20" t="str">
        <f ca="1">tblIndicators!C12</f>
        <v>IC04</v>
      </c>
      <c r="D20" t="str">
        <f ca="1">tblIndicators!D12</f>
        <v>IC00</v>
      </c>
      <c r="E20">
        <f ca="1">MATCH(C20,Weights!C$4:C$89,0)</f>
        <v>15</v>
      </c>
      <c r="F20">
        <f ca="1">INDEX(Weights!G$4:G$89,E20)</f>
        <v>1</v>
      </c>
      <c r="G20">
        <f t="shared" si="7"/>
        <v>0.16666666666666666</v>
      </c>
      <c r="H20" t="str">
        <f ca="1">tblIndicators!K12</f>
        <v xml:space="preserve">          Accounting standards</v>
      </c>
      <c r="I20" s="19">
        <v>3</v>
      </c>
      <c r="J20" s="19" t="s">
        <v>1140</v>
      </c>
      <c r="K20" s="19" t="s">
        <v>1140</v>
      </c>
      <c r="L20" s="19" t="s">
        <v>1140</v>
      </c>
      <c r="M20" s="19">
        <v>2</v>
      </c>
      <c r="N20" s="19" t="s">
        <v>1140</v>
      </c>
      <c r="O20" s="19">
        <v>3</v>
      </c>
      <c r="P20" s="19" t="s">
        <v>1140</v>
      </c>
      <c r="Q20" s="19" t="s">
        <v>1140</v>
      </c>
      <c r="R20" s="19">
        <v>3</v>
      </c>
      <c r="S20" s="19" t="s">
        <v>1140</v>
      </c>
      <c r="T20" s="19">
        <v>2</v>
      </c>
      <c r="U20" s="19">
        <v>-1</v>
      </c>
      <c r="V20" s="19">
        <v>2</v>
      </c>
      <c r="W20" s="19" t="s">
        <v>1140</v>
      </c>
      <c r="X20" s="19">
        <v>4</v>
      </c>
      <c r="Y20" s="19">
        <v>3</v>
      </c>
      <c r="Z20" s="19" t="s">
        <v>1140</v>
      </c>
      <c r="AA20" s="19" t="s">
        <v>1140</v>
      </c>
      <c r="AB20" s="19" t="s">
        <v>1140</v>
      </c>
      <c r="AC20" s="19">
        <v>3</v>
      </c>
      <c r="AD20" s="19">
        <v>-1</v>
      </c>
      <c r="AE20" s="19">
        <v>-1</v>
      </c>
      <c r="AF20" s="19" t="s">
        <v>1140</v>
      </c>
      <c r="AG20" s="19" t="s">
        <v>1140</v>
      </c>
      <c r="AH20" s="19">
        <v>-1</v>
      </c>
      <c r="AI20" s="19" t="s">
        <v>1140</v>
      </c>
      <c r="AJ20" s="19" t="s">
        <v>1140</v>
      </c>
      <c r="AK20" s="19" t="s">
        <v>1140</v>
      </c>
      <c r="AL20" s="19" t="s">
        <v>1140</v>
      </c>
      <c r="AM20" s="19">
        <v>3</v>
      </c>
      <c r="AN20" s="19" t="s">
        <v>1140</v>
      </c>
      <c r="AO20" s="19" t="s">
        <v>1140</v>
      </c>
      <c r="AP20" s="19" t="s">
        <v>1140</v>
      </c>
      <c r="AQ20" s="19" t="s">
        <v>1140</v>
      </c>
      <c r="AR20" s="19">
        <v>3</v>
      </c>
      <c r="AS20" s="19" t="s">
        <v>1140</v>
      </c>
      <c r="AT20" s="19" t="s">
        <v>1140</v>
      </c>
      <c r="AU20" s="19">
        <v>-1</v>
      </c>
      <c r="AV20" s="19">
        <v>1</v>
      </c>
      <c r="AW20" s="19">
        <v>3</v>
      </c>
      <c r="AX20" s="19" t="s">
        <v>1140</v>
      </c>
      <c r="AY20" s="19" t="s">
        <v>1140</v>
      </c>
      <c r="AZ20" s="19" t="s">
        <v>1140</v>
      </c>
      <c r="BA20" s="19" t="s">
        <v>1140</v>
      </c>
      <c r="BB20" s="19" t="s">
        <v>1140</v>
      </c>
      <c r="BC20" s="19" t="s">
        <v>1140</v>
      </c>
      <c r="BD20" s="19" t="s">
        <v>1140</v>
      </c>
      <c r="BE20" s="19" t="s">
        <v>1140</v>
      </c>
      <c r="BF20" s="19" t="s">
        <v>1140</v>
      </c>
      <c r="BG20" s="19" t="s">
        <v>1140</v>
      </c>
      <c r="BH20" s="19">
        <v>3</v>
      </c>
      <c r="BI20" s="19">
        <v>3</v>
      </c>
      <c r="BJ20" s="19" t="s">
        <v>1140</v>
      </c>
      <c r="BK20" s="19" t="s">
        <v>1140</v>
      </c>
    </row>
    <row r="21" spans="1:63">
      <c r="A21">
        <f ca="1">tblIndicators!A13</f>
        <v>12</v>
      </c>
      <c r="B21">
        <f ca="1">tblIndicators!B13</f>
        <v>2</v>
      </c>
      <c r="C21" t="str">
        <f ca="1">tblIndicators!C13</f>
        <v>IC05</v>
      </c>
      <c r="D21" t="str">
        <f ca="1">tblIndicators!D13</f>
        <v>IC00</v>
      </c>
      <c r="E21">
        <f ca="1">MATCH(C21,Weights!C$4:C$89,0)</f>
        <v>16</v>
      </c>
      <c r="F21">
        <f ca="1">INDEX(Weights!G$4:G$89,E21)</f>
        <v>1</v>
      </c>
      <c r="G21">
        <f t="shared" si="7"/>
        <v>0.16666666666666666</v>
      </c>
      <c r="H21" t="str">
        <f ca="1">tblIndicators!K13</f>
        <v xml:space="preserve">          Governance standards</v>
      </c>
      <c r="I21" s="19">
        <v>2</v>
      </c>
      <c r="J21" s="19" t="s">
        <v>1140</v>
      </c>
      <c r="K21" s="19" t="s">
        <v>1140</v>
      </c>
      <c r="L21" s="19" t="s">
        <v>1140</v>
      </c>
      <c r="M21" s="19">
        <v>3</v>
      </c>
      <c r="N21" s="19" t="s">
        <v>1140</v>
      </c>
      <c r="O21" s="19">
        <v>3</v>
      </c>
      <c r="P21" s="19" t="s">
        <v>1140</v>
      </c>
      <c r="Q21" s="19" t="s">
        <v>1140</v>
      </c>
      <c r="R21" s="19">
        <v>3</v>
      </c>
      <c r="S21" s="19" t="s">
        <v>1140</v>
      </c>
      <c r="T21" s="19">
        <v>2</v>
      </c>
      <c r="U21" s="19">
        <v>-1</v>
      </c>
      <c r="V21" s="19">
        <v>1</v>
      </c>
      <c r="W21" s="19" t="s">
        <v>1140</v>
      </c>
      <c r="X21" s="19">
        <v>2</v>
      </c>
      <c r="Y21" s="19">
        <v>1</v>
      </c>
      <c r="Z21" s="19" t="s">
        <v>1140</v>
      </c>
      <c r="AA21" s="19" t="s">
        <v>1140</v>
      </c>
      <c r="AB21" s="19" t="s">
        <v>1140</v>
      </c>
      <c r="AC21" s="19">
        <v>1</v>
      </c>
      <c r="AD21" s="19">
        <v>-1</v>
      </c>
      <c r="AE21" s="19">
        <v>-1</v>
      </c>
      <c r="AF21" s="19" t="s">
        <v>1140</v>
      </c>
      <c r="AG21" s="19" t="s">
        <v>1140</v>
      </c>
      <c r="AH21" s="19">
        <v>-1</v>
      </c>
      <c r="AI21" s="19" t="s">
        <v>1140</v>
      </c>
      <c r="AJ21" s="19" t="s">
        <v>1140</v>
      </c>
      <c r="AK21" s="19" t="s">
        <v>1140</v>
      </c>
      <c r="AL21" s="19" t="s">
        <v>1140</v>
      </c>
      <c r="AM21" s="19">
        <v>2</v>
      </c>
      <c r="AN21" s="19" t="s">
        <v>1140</v>
      </c>
      <c r="AO21" s="19" t="s">
        <v>1140</v>
      </c>
      <c r="AP21" s="19" t="s">
        <v>1140</v>
      </c>
      <c r="AQ21" s="19" t="s">
        <v>1140</v>
      </c>
      <c r="AR21" s="19">
        <v>2</v>
      </c>
      <c r="AS21" s="19" t="s">
        <v>1140</v>
      </c>
      <c r="AT21" s="19" t="s">
        <v>1140</v>
      </c>
      <c r="AU21" s="19">
        <v>-1</v>
      </c>
      <c r="AV21" s="19">
        <v>2</v>
      </c>
      <c r="AW21" s="19">
        <v>3</v>
      </c>
      <c r="AX21" s="19" t="s">
        <v>1140</v>
      </c>
      <c r="AY21" s="19" t="s">
        <v>1140</v>
      </c>
      <c r="AZ21" s="19" t="s">
        <v>1140</v>
      </c>
      <c r="BA21" s="19" t="s">
        <v>1140</v>
      </c>
      <c r="BB21" s="19" t="s">
        <v>1140</v>
      </c>
      <c r="BC21" s="19" t="s">
        <v>1140</v>
      </c>
      <c r="BD21" s="19" t="s">
        <v>1140</v>
      </c>
      <c r="BE21" s="19" t="s">
        <v>1140</v>
      </c>
      <c r="BF21" s="19" t="s">
        <v>1140</v>
      </c>
      <c r="BG21" s="19" t="s">
        <v>1140</v>
      </c>
      <c r="BH21" s="19">
        <v>2</v>
      </c>
      <c r="BI21" s="19">
        <v>1</v>
      </c>
      <c r="BJ21" s="19" t="s">
        <v>1140</v>
      </c>
      <c r="BK21" s="19" t="s">
        <v>1140</v>
      </c>
    </row>
    <row r="22" spans="1:63">
      <c r="A22">
        <f ca="1">tblIndicators!A14</f>
        <v>13</v>
      </c>
      <c r="B22">
        <f ca="1">tblIndicators!B14</f>
        <v>2</v>
      </c>
      <c r="C22" t="str">
        <f ca="1">tblIndicators!C14</f>
        <v>IC06</v>
      </c>
      <c r="D22" t="str">
        <f ca="1">tblIndicators!D14</f>
        <v>IC00</v>
      </c>
      <c r="E22">
        <f ca="1">MATCH(C22,Weights!C$4:C$89,0)</f>
        <v>17</v>
      </c>
      <c r="F22">
        <f ca="1">INDEX(Weights!G$4:G$89,E22)</f>
        <v>1</v>
      </c>
      <c r="G22">
        <f t="shared" si="7"/>
        <v>0.16666666666666666</v>
      </c>
      <c r="H22" t="str">
        <f ca="1">tblIndicators!K14</f>
        <v xml:space="preserve">          MFI transparency</v>
      </c>
      <c r="I22" s="19">
        <v>1</v>
      </c>
      <c r="J22" s="19" t="s">
        <v>1140</v>
      </c>
      <c r="K22" s="19" t="s">
        <v>1140</v>
      </c>
      <c r="L22" s="19" t="s">
        <v>1140</v>
      </c>
      <c r="M22" s="19">
        <v>3</v>
      </c>
      <c r="N22" s="19" t="s">
        <v>1140</v>
      </c>
      <c r="O22" s="19">
        <v>2</v>
      </c>
      <c r="P22" s="19" t="s">
        <v>1140</v>
      </c>
      <c r="Q22" s="19" t="s">
        <v>1140</v>
      </c>
      <c r="R22" s="19">
        <v>2</v>
      </c>
      <c r="S22" s="19" t="s">
        <v>1140</v>
      </c>
      <c r="T22" s="19">
        <v>2</v>
      </c>
      <c r="U22" s="19">
        <v>-1</v>
      </c>
      <c r="V22" s="19">
        <v>2</v>
      </c>
      <c r="W22" s="19" t="s">
        <v>1140</v>
      </c>
      <c r="X22" s="19">
        <v>2</v>
      </c>
      <c r="Y22" s="19">
        <v>2</v>
      </c>
      <c r="Z22" s="19" t="s">
        <v>1140</v>
      </c>
      <c r="AA22" s="19" t="s">
        <v>1140</v>
      </c>
      <c r="AB22" s="19" t="s">
        <v>1140</v>
      </c>
      <c r="AC22" s="19">
        <v>2</v>
      </c>
      <c r="AD22" s="19">
        <v>-1</v>
      </c>
      <c r="AE22" s="19">
        <v>-1</v>
      </c>
      <c r="AF22" s="19" t="s">
        <v>1140</v>
      </c>
      <c r="AG22" s="19" t="s">
        <v>1140</v>
      </c>
      <c r="AH22" s="19">
        <v>-1</v>
      </c>
      <c r="AI22" s="19" t="s">
        <v>1140</v>
      </c>
      <c r="AJ22" s="19" t="s">
        <v>1140</v>
      </c>
      <c r="AK22" s="19" t="s">
        <v>1140</v>
      </c>
      <c r="AL22" s="19" t="s">
        <v>1140</v>
      </c>
      <c r="AM22" s="19">
        <v>2</v>
      </c>
      <c r="AN22" s="19" t="s">
        <v>1140</v>
      </c>
      <c r="AO22" s="19" t="s">
        <v>1140</v>
      </c>
      <c r="AP22" s="19" t="s">
        <v>1140</v>
      </c>
      <c r="AQ22" s="19" t="s">
        <v>1140</v>
      </c>
      <c r="AR22" s="19">
        <v>1</v>
      </c>
      <c r="AS22" s="19" t="s">
        <v>1140</v>
      </c>
      <c r="AT22" s="19" t="s">
        <v>1140</v>
      </c>
      <c r="AU22" s="19">
        <v>-1</v>
      </c>
      <c r="AV22" s="19">
        <v>2</v>
      </c>
      <c r="AW22" s="19">
        <v>3</v>
      </c>
      <c r="AX22" s="19" t="s">
        <v>1140</v>
      </c>
      <c r="AY22" s="19" t="s">
        <v>1140</v>
      </c>
      <c r="AZ22" s="19" t="s">
        <v>1140</v>
      </c>
      <c r="BA22" s="19" t="s">
        <v>1140</v>
      </c>
      <c r="BB22" s="19" t="s">
        <v>1140</v>
      </c>
      <c r="BC22" s="19" t="s">
        <v>1140</v>
      </c>
      <c r="BD22" s="19" t="s">
        <v>1140</v>
      </c>
      <c r="BE22" s="19" t="s">
        <v>1140</v>
      </c>
      <c r="BF22" s="19" t="s">
        <v>1140</v>
      </c>
      <c r="BG22" s="19" t="s">
        <v>1140</v>
      </c>
      <c r="BH22" s="19">
        <v>2</v>
      </c>
      <c r="BI22" s="19">
        <v>3</v>
      </c>
      <c r="BJ22" s="19" t="s">
        <v>1140</v>
      </c>
      <c r="BK22" s="19" t="s">
        <v>1140</v>
      </c>
    </row>
    <row r="23" spans="1:63">
      <c r="A23">
        <f ca="1">tblIndicators!A15</f>
        <v>14</v>
      </c>
      <c r="B23">
        <f ca="1">tblIndicators!B15</f>
        <v>1</v>
      </c>
      <c r="C23" t="str">
        <f ca="1">tblIndicators!C15</f>
        <v>ID00</v>
      </c>
      <c r="D23" t="str">
        <f ca="1">tblIndicators!D15</f>
        <v>OVERALL</v>
      </c>
      <c r="E23">
        <f ca="1">MATCH(C23,Weights!C$4:C$89,0)</f>
        <v>3</v>
      </c>
      <c r="F23">
        <f ca="1">INDEX(Weights!G$4:G$89,E23)</f>
        <v>4</v>
      </c>
      <c r="G23">
        <f t="shared" si="7"/>
        <v>0.4</v>
      </c>
      <c r="H23" t="str">
        <f ca="1">tblIndicators!K15</f>
        <v xml:space="preserve">     Institutional Development</v>
      </c>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row>
    <row r="24" spans="1:63">
      <c r="A24">
        <f ca="1">tblIndicators!A16</f>
        <v>15</v>
      </c>
      <c r="B24">
        <f ca="1">tblIndicators!B16</f>
        <v>2</v>
      </c>
      <c r="C24" t="str">
        <f ca="1">tblIndicators!C16</f>
        <v>ID01</v>
      </c>
      <c r="D24" t="str">
        <f ca="1">tblIndicators!D16</f>
        <v>ID00</v>
      </c>
      <c r="E24">
        <f ca="1">MATCH(C24,Weights!C$4:C$89,0)</f>
        <v>19</v>
      </c>
      <c r="F24">
        <f ca="1">INDEX(Weights!G$4:G$89,E24)</f>
        <v>1</v>
      </c>
      <c r="G24">
        <f t="shared" si="7"/>
        <v>0.33333333333333331</v>
      </c>
      <c r="H24" t="str">
        <f ca="1">tblIndicators!K16</f>
        <v xml:space="preserve">          Range of MFI Services</v>
      </c>
      <c r="I24" s="19">
        <v>1</v>
      </c>
      <c r="J24" s="19" t="s">
        <v>1140</v>
      </c>
      <c r="K24" s="19" t="s">
        <v>1140</v>
      </c>
      <c r="L24" s="19" t="s">
        <v>1140</v>
      </c>
      <c r="M24" s="19">
        <v>4</v>
      </c>
      <c r="N24" s="19" t="s">
        <v>1140</v>
      </c>
      <c r="O24" s="19">
        <v>2</v>
      </c>
      <c r="P24" s="19" t="s">
        <v>1140</v>
      </c>
      <c r="Q24" s="19" t="s">
        <v>1140</v>
      </c>
      <c r="R24" s="19">
        <v>2</v>
      </c>
      <c r="S24" s="19" t="s">
        <v>1140</v>
      </c>
      <c r="T24" s="19">
        <v>2</v>
      </c>
      <c r="U24" s="19">
        <v>-1</v>
      </c>
      <c r="V24" s="19">
        <v>3</v>
      </c>
      <c r="W24" s="19" t="s">
        <v>1140</v>
      </c>
      <c r="X24" s="19">
        <v>2</v>
      </c>
      <c r="Y24" s="19">
        <v>2</v>
      </c>
      <c r="Z24" s="19" t="s">
        <v>1140</v>
      </c>
      <c r="AA24" s="19" t="s">
        <v>1140</v>
      </c>
      <c r="AB24" s="19" t="s">
        <v>1140</v>
      </c>
      <c r="AC24" s="19">
        <v>2</v>
      </c>
      <c r="AD24" s="19">
        <v>-1</v>
      </c>
      <c r="AE24" s="19">
        <v>-1</v>
      </c>
      <c r="AF24" s="19" t="s">
        <v>1140</v>
      </c>
      <c r="AG24" s="19" t="s">
        <v>1140</v>
      </c>
      <c r="AH24" s="19">
        <v>-1</v>
      </c>
      <c r="AI24" s="19" t="s">
        <v>1140</v>
      </c>
      <c r="AJ24" s="19" t="s">
        <v>1140</v>
      </c>
      <c r="AK24" s="19" t="s">
        <v>1140</v>
      </c>
      <c r="AL24" s="19" t="s">
        <v>1140</v>
      </c>
      <c r="AM24" s="19">
        <v>2</v>
      </c>
      <c r="AN24" s="19" t="s">
        <v>1140</v>
      </c>
      <c r="AO24" s="19" t="s">
        <v>1140</v>
      </c>
      <c r="AP24" s="19" t="s">
        <v>1140</v>
      </c>
      <c r="AQ24" s="19" t="s">
        <v>1140</v>
      </c>
      <c r="AR24" s="19">
        <v>2</v>
      </c>
      <c r="AS24" s="19" t="s">
        <v>1140</v>
      </c>
      <c r="AT24" s="19" t="s">
        <v>1140</v>
      </c>
      <c r="AU24" s="19">
        <v>-1</v>
      </c>
      <c r="AV24" s="19">
        <v>2</v>
      </c>
      <c r="AW24" s="19">
        <v>3</v>
      </c>
      <c r="AX24" s="19" t="s">
        <v>1140</v>
      </c>
      <c r="AY24" s="19" t="s">
        <v>1140</v>
      </c>
      <c r="AZ24" s="19" t="s">
        <v>1140</v>
      </c>
      <c r="BA24" s="19" t="s">
        <v>1140</v>
      </c>
      <c r="BB24" s="19" t="s">
        <v>1140</v>
      </c>
      <c r="BC24" s="19" t="s">
        <v>1140</v>
      </c>
      <c r="BD24" s="19" t="s">
        <v>1140</v>
      </c>
      <c r="BE24" s="19" t="s">
        <v>1140</v>
      </c>
      <c r="BF24" s="19" t="s">
        <v>1140</v>
      </c>
      <c r="BG24" s="19" t="s">
        <v>1140</v>
      </c>
      <c r="BH24" s="19">
        <v>1</v>
      </c>
      <c r="BI24" s="19">
        <v>2</v>
      </c>
      <c r="BJ24" s="19" t="s">
        <v>1140</v>
      </c>
      <c r="BK24" s="19" t="s">
        <v>1140</v>
      </c>
    </row>
    <row r="25" spans="1:63">
      <c r="A25">
        <f ca="1">tblIndicators!A17</f>
        <v>16</v>
      </c>
      <c r="B25">
        <f ca="1">tblIndicators!B17</f>
        <v>2</v>
      </c>
      <c r="C25" t="str">
        <f ca="1">tblIndicators!C17</f>
        <v>ID02</v>
      </c>
      <c r="D25" t="str">
        <f ca="1">tblIndicators!D17</f>
        <v>ID00</v>
      </c>
      <c r="E25">
        <f ca="1">MATCH(C25,Weights!C$4:C$89,0)</f>
        <v>20</v>
      </c>
      <c r="F25">
        <f ca="1">INDEX(Weights!G$4:G$89,E25)</f>
        <v>1</v>
      </c>
      <c r="G25">
        <f t="shared" si="7"/>
        <v>0.33333333333333331</v>
      </c>
      <c r="H25" t="str">
        <f ca="1">tblIndicators!K17</f>
        <v xml:space="preserve">          Credit bureaus</v>
      </c>
      <c r="I25" s="19">
        <v>2</v>
      </c>
      <c r="J25" s="19" t="s">
        <v>1140</v>
      </c>
      <c r="K25" s="19" t="s">
        <v>1140</v>
      </c>
      <c r="L25" s="19" t="s">
        <v>1140</v>
      </c>
      <c r="M25" s="19">
        <v>3</v>
      </c>
      <c r="N25" s="19" t="s">
        <v>1140</v>
      </c>
      <c r="O25" s="19">
        <v>2</v>
      </c>
      <c r="P25" s="19" t="s">
        <v>1140</v>
      </c>
      <c r="Q25" s="19" t="s">
        <v>1140</v>
      </c>
      <c r="R25" s="19">
        <v>2</v>
      </c>
      <c r="S25" s="19" t="s">
        <v>1140</v>
      </c>
      <c r="T25" s="19">
        <v>2</v>
      </c>
      <c r="U25" s="19">
        <v>-1</v>
      </c>
      <c r="V25" s="19">
        <v>3</v>
      </c>
      <c r="W25" s="19" t="s">
        <v>1140</v>
      </c>
      <c r="X25" s="19">
        <v>4</v>
      </c>
      <c r="Y25" s="19">
        <v>4</v>
      </c>
      <c r="Z25" s="19" t="s">
        <v>1140</v>
      </c>
      <c r="AA25" s="19" t="s">
        <v>1140</v>
      </c>
      <c r="AB25" s="19" t="s">
        <v>1140</v>
      </c>
      <c r="AC25" s="19">
        <v>2</v>
      </c>
      <c r="AD25" s="19">
        <v>-1</v>
      </c>
      <c r="AE25" s="19">
        <v>-1</v>
      </c>
      <c r="AF25" s="19" t="s">
        <v>1140</v>
      </c>
      <c r="AG25" s="19" t="s">
        <v>1140</v>
      </c>
      <c r="AH25" s="19">
        <v>-1</v>
      </c>
      <c r="AI25" s="19" t="s">
        <v>1140</v>
      </c>
      <c r="AJ25" s="19" t="s">
        <v>1140</v>
      </c>
      <c r="AK25" s="19" t="s">
        <v>1140</v>
      </c>
      <c r="AL25" s="19" t="s">
        <v>1140</v>
      </c>
      <c r="AM25" s="19">
        <v>2</v>
      </c>
      <c r="AN25" s="19" t="s">
        <v>1140</v>
      </c>
      <c r="AO25" s="19" t="s">
        <v>1140</v>
      </c>
      <c r="AP25" s="19" t="s">
        <v>1140</v>
      </c>
      <c r="AQ25" s="19" t="s">
        <v>1140</v>
      </c>
      <c r="AR25" s="19">
        <v>2</v>
      </c>
      <c r="AS25" s="19" t="s">
        <v>1140</v>
      </c>
      <c r="AT25" s="19" t="s">
        <v>1140</v>
      </c>
      <c r="AU25" s="19">
        <v>-1</v>
      </c>
      <c r="AV25" s="19">
        <v>2</v>
      </c>
      <c r="AW25" s="19">
        <v>3</v>
      </c>
      <c r="AX25" s="19" t="s">
        <v>1140</v>
      </c>
      <c r="AY25" s="19" t="s">
        <v>1140</v>
      </c>
      <c r="AZ25" s="19" t="s">
        <v>1140</v>
      </c>
      <c r="BA25" s="19" t="s">
        <v>1140</v>
      </c>
      <c r="BB25" s="19" t="s">
        <v>1140</v>
      </c>
      <c r="BC25" s="19" t="s">
        <v>1140</v>
      </c>
      <c r="BD25" s="19" t="s">
        <v>1140</v>
      </c>
      <c r="BE25" s="19" t="s">
        <v>1140</v>
      </c>
      <c r="BF25" s="19" t="s">
        <v>1140</v>
      </c>
      <c r="BG25" s="19" t="s">
        <v>1140</v>
      </c>
      <c r="BH25" s="19">
        <v>2</v>
      </c>
      <c r="BI25" s="19">
        <v>0</v>
      </c>
      <c r="BJ25" s="19" t="s">
        <v>1140</v>
      </c>
      <c r="BK25" s="19" t="s">
        <v>1140</v>
      </c>
    </row>
    <row r="26" spans="1:63">
      <c r="A26">
        <f ca="1">tblIndicators!A18</f>
        <v>17</v>
      </c>
      <c r="B26">
        <f ca="1">tblIndicators!B18</f>
        <v>2</v>
      </c>
      <c r="C26" t="str">
        <f ca="1">tblIndicators!C18</f>
        <v>ID03</v>
      </c>
      <c r="D26" t="str">
        <f ca="1">tblIndicators!D18</f>
        <v>ID00</v>
      </c>
      <c r="E26">
        <f ca="1">MATCH(C26,Weights!C$4:C$89,0)</f>
        <v>21</v>
      </c>
      <c r="F26">
        <f ca="1">INDEX(Weights!G$4:G$89,E26)</f>
        <v>1</v>
      </c>
      <c r="G26">
        <f t="shared" si="7"/>
        <v>0.33333333333333331</v>
      </c>
      <c r="H26" t="str">
        <f ca="1">tblIndicators!K18</f>
        <v xml:space="preserve">          Level of competition</v>
      </c>
      <c r="I26" s="19">
        <v>0</v>
      </c>
      <c r="J26" s="19" t="s">
        <v>1140</v>
      </c>
      <c r="K26" s="19" t="s">
        <v>1140</v>
      </c>
      <c r="L26" s="19" t="s">
        <v>1140</v>
      </c>
      <c r="M26" s="19">
        <v>2</v>
      </c>
      <c r="N26" s="19" t="s">
        <v>1140</v>
      </c>
      <c r="O26" s="19">
        <v>0</v>
      </c>
      <c r="P26" s="19" t="s">
        <v>1140</v>
      </c>
      <c r="Q26" s="19" t="s">
        <v>1140</v>
      </c>
      <c r="R26" s="19">
        <v>0</v>
      </c>
      <c r="S26" s="19" t="s">
        <v>1140</v>
      </c>
      <c r="T26" s="19">
        <v>1</v>
      </c>
      <c r="U26" s="19">
        <v>-1</v>
      </c>
      <c r="V26" s="19">
        <v>3</v>
      </c>
      <c r="W26" s="19" t="s">
        <v>1140</v>
      </c>
      <c r="X26" s="19">
        <v>3</v>
      </c>
      <c r="Y26" s="19">
        <v>2</v>
      </c>
      <c r="Z26" s="19" t="s">
        <v>1140</v>
      </c>
      <c r="AA26" s="19" t="s">
        <v>1140</v>
      </c>
      <c r="AB26" s="19" t="s">
        <v>1140</v>
      </c>
      <c r="AC26" s="19">
        <v>0</v>
      </c>
      <c r="AD26" s="19">
        <v>-1</v>
      </c>
      <c r="AE26" s="19">
        <v>-1</v>
      </c>
      <c r="AF26" s="19" t="s">
        <v>1140</v>
      </c>
      <c r="AG26" s="19" t="s">
        <v>1140</v>
      </c>
      <c r="AH26" s="19">
        <v>-1</v>
      </c>
      <c r="AI26" s="19" t="s">
        <v>1140</v>
      </c>
      <c r="AJ26" s="19" t="s">
        <v>1140</v>
      </c>
      <c r="AK26" s="19" t="s">
        <v>1140</v>
      </c>
      <c r="AL26" s="19" t="s">
        <v>1140</v>
      </c>
      <c r="AM26" s="19">
        <v>1</v>
      </c>
      <c r="AN26" s="19" t="s">
        <v>1140</v>
      </c>
      <c r="AO26" s="19" t="s">
        <v>1140</v>
      </c>
      <c r="AP26" s="19" t="s">
        <v>1140</v>
      </c>
      <c r="AQ26" s="19" t="s">
        <v>1140</v>
      </c>
      <c r="AR26" s="19">
        <v>3</v>
      </c>
      <c r="AS26" s="19" t="s">
        <v>1140</v>
      </c>
      <c r="AT26" s="19" t="s">
        <v>1140</v>
      </c>
      <c r="AU26" s="19">
        <v>-1</v>
      </c>
      <c r="AV26" s="19">
        <v>2</v>
      </c>
      <c r="AW26" s="19">
        <v>3</v>
      </c>
      <c r="AX26" s="19" t="s">
        <v>1140</v>
      </c>
      <c r="AY26" s="19" t="s">
        <v>1140</v>
      </c>
      <c r="AZ26" s="19" t="s">
        <v>1140</v>
      </c>
      <c r="BA26" s="19" t="s">
        <v>1140</v>
      </c>
      <c r="BB26" s="19" t="s">
        <v>1140</v>
      </c>
      <c r="BC26" s="19" t="s">
        <v>1140</v>
      </c>
      <c r="BD26" s="19" t="s">
        <v>1140</v>
      </c>
      <c r="BE26" s="19" t="s">
        <v>1140</v>
      </c>
      <c r="BF26" s="19" t="s">
        <v>1140</v>
      </c>
      <c r="BG26" s="19" t="s">
        <v>1140</v>
      </c>
      <c r="BH26" s="19">
        <v>0</v>
      </c>
      <c r="BI26" s="19">
        <v>0</v>
      </c>
      <c r="BJ26" s="19" t="s">
        <v>1140</v>
      </c>
      <c r="BK26" s="19" t="s">
        <v>1140</v>
      </c>
    </row>
    <row r="27" spans="1:63">
      <c r="A27">
        <f ca="1">tblIndicators!A19</f>
        <v>18</v>
      </c>
      <c r="B27">
        <f ca="1">tblIndicators!B19</f>
        <v>4</v>
      </c>
      <c r="C27" t="str">
        <f ca="1">tblIndicators!C19</f>
        <v>DEP01</v>
      </c>
      <c r="D27">
        <f ca="1">tblIndicators!D19</f>
        <v>0</v>
      </c>
      <c r="E27" t="e">
        <f ca="1">MATCH(C27,Weights!C$4:C$89,0)</f>
        <v>#N/A</v>
      </c>
      <c r="H27" t="str">
        <f ca="1">tblIndicators!K19</f>
        <v>MFI clients as % of population</v>
      </c>
      <c r="I27" s="170">
        <v>2.759380182421227E-4</v>
      </c>
      <c r="J27" s="170" t="s">
        <v>1140</v>
      </c>
      <c r="K27" s="170" t="s">
        <v>1140</v>
      </c>
      <c r="L27" s="170" t="s">
        <v>1140</v>
      </c>
      <c r="M27" s="170">
        <v>5.9721350762527242E-2</v>
      </c>
      <c r="N27" s="170" t="s">
        <v>1140</v>
      </c>
      <c r="O27" s="170">
        <v>1.5728673500412628E-3</v>
      </c>
      <c r="P27" s="170" t="s">
        <v>1140</v>
      </c>
      <c r="Q27" s="170" t="s">
        <v>1140</v>
      </c>
      <c r="R27" s="170">
        <v>1.8318989364972029E-2</v>
      </c>
      <c r="S27" s="170" t="s">
        <v>1140</v>
      </c>
      <c r="T27" s="170">
        <v>1.370736842105263E-2</v>
      </c>
      <c r="U27" s="170">
        <v>0</v>
      </c>
      <c r="V27" s="170">
        <v>1.6089006974427101E-2</v>
      </c>
      <c r="W27" s="170" t="s">
        <v>1140</v>
      </c>
      <c r="X27" s="170">
        <v>4.0536889897843362E-2</v>
      </c>
      <c r="Y27" s="170">
        <v>2.1508395802098946E-2</v>
      </c>
      <c r="Z27" s="170" t="s">
        <v>1140</v>
      </c>
      <c r="AA27" s="170" t="s">
        <v>1140</v>
      </c>
      <c r="AB27" s="170" t="s">
        <v>1140</v>
      </c>
      <c r="AC27" s="170">
        <v>2.8582690794649881E-2</v>
      </c>
      <c r="AD27" s="170">
        <v>0</v>
      </c>
      <c r="AE27" s="170">
        <v>0</v>
      </c>
      <c r="AF27" s="170" t="s">
        <v>1140</v>
      </c>
      <c r="AG27" s="170" t="s">
        <v>1140</v>
      </c>
      <c r="AH27" s="170">
        <v>0</v>
      </c>
      <c r="AI27" s="170" t="s">
        <v>1140</v>
      </c>
      <c r="AJ27" s="170" t="s">
        <v>1140</v>
      </c>
      <c r="AK27" s="170" t="s">
        <v>1140</v>
      </c>
      <c r="AL27" s="170" t="s">
        <v>1140</v>
      </c>
      <c r="AM27" s="170">
        <v>1.1467849307458467E-2</v>
      </c>
      <c r="AN27" s="170" t="s">
        <v>1140</v>
      </c>
      <c r="AO27" s="170" t="s">
        <v>1140</v>
      </c>
      <c r="AP27" s="170" t="s">
        <v>1140</v>
      </c>
      <c r="AQ27" s="170" t="s">
        <v>1140</v>
      </c>
      <c r="AR27" s="170">
        <v>6.9209213716660889E-2</v>
      </c>
      <c r="AS27" s="170" t="s">
        <v>1140</v>
      </c>
      <c r="AT27" s="170" t="s">
        <v>1140</v>
      </c>
      <c r="AU27" s="170">
        <v>0</v>
      </c>
      <c r="AV27" s="170">
        <v>1.6158661016949183E-2</v>
      </c>
      <c r="AW27" s="170">
        <v>4.202100404336781E-2</v>
      </c>
      <c r="AX27" s="170" t="s">
        <v>1140</v>
      </c>
      <c r="AY27" s="170" t="s">
        <v>1140</v>
      </c>
      <c r="AZ27" s="170" t="s">
        <v>1140</v>
      </c>
      <c r="BA27" s="170" t="s">
        <v>1140</v>
      </c>
      <c r="BB27" s="170" t="s">
        <v>1140</v>
      </c>
      <c r="BC27" s="170" t="s">
        <v>1140</v>
      </c>
      <c r="BD27" s="170" t="s">
        <v>1140</v>
      </c>
      <c r="BE27" s="170" t="s">
        <v>1140</v>
      </c>
      <c r="BF27" s="170" t="s">
        <v>1140</v>
      </c>
      <c r="BG27" s="170" t="s">
        <v>1140</v>
      </c>
      <c r="BH27" s="170">
        <v>2.1642468239564429E-3</v>
      </c>
      <c r="BI27" s="170">
        <v>1.698225075528701E-3</v>
      </c>
      <c r="BJ27" s="170" t="s">
        <v>1140</v>
      </c>
      <c r="BK27" s="170" t="s">
        <v>1140</v>
      </c>
    </row>
    <row r="28" spans="1:63">
      <c r="A28">
        <f ca="1">tblIndicators!A20</f>
        <v>19</v>
      </c>
      <c r="B28">
        <f ca="1">tblIndicators!B20</f>
        <v>4</v>
      </c>
      <c r="C28" t="str">
        <f ca="1">tblIndicators!C20</f>
        <v>DEP02</v>
      </c>
      <c r="D28">
        <f ca="1">tblIndicators!D20</f>
        <v>0</v>
      </c>
      <c r="E28" t="e">
        <f ca="1">MATCH(C28,Weights!C$4:C$89,0)</f>
        <v>#N/A</v>
      </c>
      <c r="H28" t="str">
        <f ca="1">tblIndicators!K20</f>
        <v>MFI clients as % of microenterprises</v>
      </c>
      <c r="I28" s="170">
        <v>2.8115176915192966E-3</v>
      </c>
      <c r="J28" s="170" t="s">
        <v>1140</v>
      </c>
      <c r="K28" s="170" t="s">
        <v>1140</v>
      </c>
      <c r="L28" s="170" t="s">
        <v>1140</v>
      </c>
      <c r="M28" s="170">
        <v>0.31562869894023204</v>
      </c>
      <c r="N28" s="170" t="s">
        <v>1140</v>
      </c>
      <c r="O28" s="170">
        <v>1.2928303003645846E-2</v>
      </c>
      <c r="P28" s="170" t="s">
        <v>1140</v>
      </c>
      <c r="Q28" s="170" t="s">
        <v>1140</v>
      </c>
      <c r="R28" s="170">
        <v>0.19904656431850123</v>
      </c>
      <c r="S28" s="170" t="s">
        <v>1140</v>
      </c>
      <c r="T28" s="170">
        <v>7.1735555704497106E-2</v>
      </c>
      <c r="U28" s="170">
        <v>0</v>
      </c>
      <c r="V28" s="170">
        <v>0.10382451590780013</v>
      </c>
      <c r="W28" s="170" t="s">
        <v>1140</v>
      </c>
      <c r="X28" s="170">
        <v>0.26904596525221602</v>
      </c>
      <c r="Y28" s="170">
        <v>0.16196593161937706</v>
      </c>
      <c r="Z28" s="170" t="s">
        <v>1140</v>
      </c>
      <c r="AA28" s="170" t="s">
        <v>1140</v>
      </c>
      <c r="AB28" s="170" t="s">
        <v>1140</v>
      </c>
      <c r="AC28" s="170">
        <v>0.22704793189674516</v>
      </c>
      <c r="AD28" s="170">
        <v>0</v>
      </c>
      <c r="AE28" s="170">
        <v>0</v>
      </c>
      <c r="AF28" s="170" t="s">
        <v>1140</v>
      </c>
      <c r="AG28" s="170" t="s">
        <v>1140</v>
      </c>
      <c r="AH28" s="170">
        <v>0</v>
      </c>
      <c r="AI28" s="170" t="s">
        <v>1140</v>
      </c>
      <c r="AJ28" s="170" t="s">
        <v>1140</v>
      </c>
      <c r="AK28" s="170" t="s">
        <v>1140</v>
      </c>
      <c r="AL28" s="170" t="s">
        <v>1140</v>
      </c>
      <c r="AM28" s="170">
        <v>0.11716820292479894</v>
      </c>
      <c r="AN28" s="170" t="s">
        <v>1140</v>
      </c>
      <c r="AO28" s="170" t="s">
        <v>1140</v>
      </c>
      <c r="AP28" s="170" t="s">
        <v>1140</v>
      </c>
      <c r="AQ28" s="170" t="s">
        <v>1140</v>
      </c>
      <c r="AR28" s="170">
        <v>0.58347605802433988</v>
      </c>
      <c r="AS28" s="170" t="s">
        <v>1140</v>
      </c>
      <c r="AT28" s="170" t="s">
        <v>1140</v>
      </c>
      <c r="AU28" s="170">
        <v>0</v>
      </c>
      <c r="AV28" s="170">
        <v>6.179420534093856E-2</v>
      </c>
      <c r="AW28" s="170">
        <v>0.23518268818494176</v>
      </c>
      <c r="AX28" s="170" t="s">
        <v>1140</v>
      </c>
      <c r="AY28" s="170" t="s">
        <v>1140</v>
      </c>
      <c r="AZ28" s="170" t="s">
        <v>1140</v>
      </c>
      <c r="BA28" s="170" t="s">
        <v>1140</v>
      </c>
      <c r="BB28" s="170" t="s">
        <v>1140</v>
      </c>
      <c r="BC28" s="170" t="s">
        <v>1140</v>
      </c>
      <c r="BD28" s="170" t="s">
        <v>1140</v>
      </c>
      <c r="BE28" s="170" t="s">
        <v>1140</v>
      </c>
      <c r="BF28" s="170" t="s">
        <v>1140</v>
      </c>
      <c r="BG28" s="170" t="s">
        <v>1140</v>
      </c>
      <c r="BH28" s="170">
        <v>1.8481447519663175E-2</v>
      </c>
      <c r="BI28" s="170">
        <v>1.3848243648281897E-2</v>
      </c>
      <c r="BJ28" s="170" t="s">
        <v>1140</v>
      </c>
      <c r="BK28" s="170" t="s">
        <v>1140</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1"/>
  <dimension ref="A1:BK28"/>
  <sheetViews>
    <sheetView topLeftCell="B1" workbookViewId="0">
      <selection activeCell="H10" sqref="H10"/>
    </sheetView>
  </sheetViews>
  <sheetFormatPr defaultRowHeight="12.75"/>
  <cols>
    <col min="1" max="1" width="3" bestFit="1" customWidth="1"/>
    <col min="2" max="2" width="2" bestFit="1" customWidth="1"/>
    <col min="4" max="4" width="5.140625" customWidth="1"/>
    <col min="5" max="7" width="5" customWidth="1"/>
    <col min="8" max="8" width="62.42578125" bestFit="1" customWidth="1"/>
  </cols>
  <sheetData>
    <row r="1" spans="1:63">
      <c r="E1" s="6"/>
      <c r="F1" s="6"/>
      <c r="G1" s="6"/>
      <c r="I1">
        <v>1</v>
      </c>
      <c r="J1">
        <v>2</v>
      </c>
      <c r="K1">
        <v>3</v>
      </c>
      <c r="L1">
        <v>4</v>
      </c>
      <c r="M1">
        <v>5</v>
      </c>
      <c r="N1">
        <v>6</v>
      </c>
      <c r="O1">
        <v>7</v>
      </c>
      <c r="P1">
        <v>8</v>
      </c>
      <c r="Q1">
        <v>9</v>
      </c>
      <c r="R1">
        <v>10</v>
      </c>
      <c r="S1">
        <v>11</v>
      </c>
      <c r="T1">
        <v>12</v>
      </c>
      <c r="U1">
        <v>13</v>
      </c>
      <c r="V1">
        <v>14</v>
      </c>
      <c r="W1">
        <v>15</v>
      </c>
      <c r="X1">
        <v>16</v>
      </c>
      <c r="Y1">
        <v>17</v>
      </c>
      <c r="Z1">
        <v>18</v>
      </c>
      <c r="AA1">
        <v>19</v>
      </c>
      <c r="AB1">
        <v>20</v>
      </c>
      <c r="AC1">
        <v>21</v>
      </c>
      <c r="AD1">
        <v>22</v>
      </c>
      <c r="AE1">
        <v>23</v>
      </c>
      <c r="AF1">
        <v>24</v>
      </c>
      <c r="AG1">
        <v>25</v>
      </c>
      <c r="AH1">
        <v>26</v>
      </c>
      <c r="AI1">
        <v>27</v>
      </c>
      <c r="AJ1">
        <v>28</v>
      </c>
      <c r="AK1">
        <v>29</v>
      </c>
      <c r="AL1">
        <v>30</v>
      </c>
      <c r="AM1">
        <v>31</v>
      </c>
      <c r="AN1">
        <v>32</v>
      </c>
      <c r="AO1">
        <v>33</v>
      </c>
      <c r="AP1">
        <v>34</v>
      </c>
      <c r="AQ1">
        <v>35</v>
      </c>
      <c r="AR1">
        <v>36</v>
      </c>
      <c r="AS1">
        <v>37</v>
      </c>
      <c r="AT1">
        <v>38</v>
      </c>
      <c r="AU1">
        <v>39</v>
      </c>
      <c r="AV1">
        <v>40</v>
      </c>
      <c r="AW1">
        <v>41</v>
      </c>
      <c r="AX1">
        <v>42</v>
      </c>
      <c r="AY1">
        <v>43</v>
      </c>
      <c r="AZ1">
        <v>44</v>
      </c>
      <c r="BA1">
        <v>45</v>
      </c>
      <c r="BB1">
        <v>46</v>
      </c>
      <c r="BC1">
        <v>47</v>
      </c>
      <c r="BD1">
        <v>48</v>
      </c>
      <c r="BE1">
        <v>49</v>
      </c>
      <c r="BF1">
        <v>50</v>
      </c>
      <c r="BG1">
        <v>51</v>
      </c>
      <c r="BH1">
        <v>52</v>
      </c>
      <c r="BI1">
        <v>53</v>
      </c>
      <c r="BJ1">
        <v>54</v>
      </c>
      <c r="BK1">
        <v>55</v>
      </c>
    </row>
    <row r="2" spans="1:63">
      <c r="I2" t="str">
        <f t="shared" ref="I2:BK2" ca="1" si="0">INDEX(lu_countries_and_regions,I1,0)</f>
        <v>Argentina</v>
      </c>
      <c r="J2" t="str">
        <f t="shared" ca="1" si="0"/>
        <v>Armenia</v>
      </c>
      <c r="K2" t="str">
        <f t="shared" ca="1" si="0"/>
        <v>Azerbaijan</v>
      </c>
      <c r="L2" t="str">
        <f t="shared" ca="1" si="0"/>
        <v>Bangladesh</v>
      </c>
      <c r="M2" t="str">
        <f t="shared" ca="1" si="0"/>
        <v>Bolivia</v>
      </c>
      <c r="N2" t="str">
        <f t="shared" ca="1" si="0"/>
        <v>Bosnia</v>
      </c>
      <c r="O2" t="str">
        <f t="shared" ca="1" si="0"/>
        <v>Brazil</v>
      </c>
      <c r="P2" t="str">
        <f t="shared" ca="1" si="0"/>
        <v>Cambodia</v>
      </c>
      <c r="Q2" t="str">
        <f t="shared" ca="1" si="0"/>
        <v>Cameroon</v>
      </c>
      <c r="R2" t="str">
        <f t="shared" ca="1" si="0"/>
        <v>Chile</v>
      </c>
      <c r="S2" t="str">
        <f t="shared" ca="1" si="0"/>
        <v>China</v>
      </c>
      <c r="T2" t="str">
        <f t="shared" ca="1" si="0"/>
        <v>Colombia</v>
      </c>
      <c r="U2" t="str">
        <f t="shared" ca="1" si="0"/>
        <v>Costa Rica</v>
      </c>
      <c r="V2" t="str">
        <f t="shared" ca="1" si="0"/>
        <v>Dominican Republic</v>
      </c>
      <c r="W2" t="str">
        <f t="shared" ca="1" si="0"/>
        <v>DRC</v>
      </c>
      <c r="X2" t="str">
        <f t="shared" ca="1" si="0"/>
        <v>Ecuador</v>
      </c>
      <c r="Y2" t="str">
        <f t="shared" ca="1" si="0"/>
        <v>El Salvador</v>
      </c>
      <c r="Z2" t="str">
        <f t="shared" ca="1" si="0"/>
        <v>Ethiopia</v>
      </c>
      <c r="AA2" t="str">
        <f t="shared" ca="1" si="0"/>
        <v>Georgia</v>
      </c>
      <c r="AB2" t="str">
        <f t="shared" ca="1" si="0"/>
        <v>Ghana</v>
      </c>
      <c r="AC2" t="str">
        <f t="shared" ca="1" si="0"/>
        <v>Guatemala</v>
      </c>
      <c r="AD2" t="str">
        <f t="shared" ca="1" si="0"/>
        <v>Haiti</v>
      </c>
      <c r="AE2" t="str">
        <f t="shared" ca="1" si="0"/>
        <v>Honduras</v>
      </c>
      <c r="AF2" t="str">
        <f t="shared" ca="1" si="0"/>
        <v>India</v>
      </c>
      <c r="AG2" t="str">
        <f t="shared" ca="1" si="0"/>
        <v>Indonesia</v>
      </c>
      <c r="AH2" t="str">
        <f t="shared" ca="1" si="0"/>
        <v>Jamaica</v>
      </c>
      <c r="AI2" t="str">
        <f t="shared" ca="1" si="0"/>
        <v>Kenya</v>
      </c>
      <c r="AJ2" t="str">
        <f t="shared" ca="1" si="0"/>
        <v>Kyrgyzstan</v>
      </c>
      <c r="AK2" t="str">
        <f t="shared" ca="1" si="0"/>
        <v>Lebanon</v>
      </c>
      <c r="AL2" t="str">
        <f t="shared" ca="1" si="0"/>
        <v>Madagascar</v>
      </c>
      <c r="AM2" t="str">
        <f t="shared" ca="1" si="0"/>
        <v>Mexico</v>
      </c>
      <c r="AN2" t="str">
        <f t="shared" ca="1" si="0"/>
        <v>Mongolia</v>
      </c>
      <c r="AO2" t="str">
        <f t="shared" ca="1" si="0"/>
        <v>Morocco</v>
      </c>
      <c r="AP2" t="str">
        <f t="shared" ca="1" si="0"/>
        <v>Mozambique</v>
      </c>
      <c r="AQ2" t="str">
        <f t="shared" ca="1" si="0"/>
        <v>Nepal</v>
      </c>
      <c r="AR2" t="str">
        <f t="shared" ca="1" si="0"/>
        <v>Nicaragua</v>
      </c>
      <c r="AS2" t="str">
        <f t="shared" ca="1" si="0"/>
        <v>Nigeria</v>
      </c>
      <c r="AT2" t="str">
        <f t="shared" ca="1" si="0"/>
        <v>Pakistan</v>
      </c>
      <c r="AU2" t="str">
        <f t="shared" ca="1" si="0"/>
        <v>Panama</v>
      </c>
      <c r="AV2" t="str">
        <f t="shared" ca="1" si="0"/>
        <v>Paraguay</v>
      </c>
      <c r="AW2" t="str">
        <f t="shared" ca="1" si="0"/>
        <v>Peru</v>
      </c>
      <c r="AX2" t="str">
        <f t="shared" ca="1" si="0"/>
        <v>Philippines</v>
      </c>
      <c r="AY2" t="str">
        <f t="shared" ca="1" si="0"/>
        <v>Rwanda</v>
      </c>
      <c r="AZ2" t="str">
        <f t="shared" ca="1" si="0"/>
        <v>Senegal</v>
      </c>
      <c r="BA2" t="str">
        <f t="shared" ca="1" si="0"/>
        <v>Sri Lanka</v>
      </c>
      <c r="BB2" t="str">
        <f t="shared" ca="1" si="0"/>
        <v>Tajikistan</v>
      </c>
      <c r="BC2" t="str">
        <f t="shared" ca="1" si="0"/>
        <v>Tanzania</v>
      </c>
      <c r="BD2" t="str">
        <f t="shared" ca="1" si="0"/>
        <v>Thailand</v>
      </c>
      <c r="BE2" t="str">
        <f t="shared" ca="1" si="0"/>
        <v>Trinidad and Tobago</v>
      </c>
      <c r="BF2" t="str">
        <f t="shared" ca="1" si="0"/>
        <v>Turkey</v>
      </c>
      <c r="BG2" t="str">
        <f t="shared" ca="1" si="0"/>
        <v>Uganda</v>
      </c>
      <c r="BH2" t="str">
        <f t="shared" ca="1" si="0"/>
        <v>Uruguay</v>
      </c>
      <c r="BI2" t="str">
        <f t="shared" ca="1" si="0"/>
        <v>Venezuela</v>
      </c>
      <c r="BJ2" t="str">
        <f t="shared" ca="1" si="0"/>
        <v>Vietnam</v>
      </c>
      <c r="BK2" t="str">
        <f t="shared" ca="1" si="0"/>
        <v>Yemen</v>
      </c>
    </row>
    <row r="3" spans="1:63">
      <c r="C3" t="str">
        <f ca="1">tblIndByType!A2</f>
        <v>OVERALL</v>
      </c>
      <c r="H3" t="str">
        <f ca="1">tblIndByType!C2</f>
        <v>Overall score</v>
      </c>
      <c r="I3" s="19">
        <f>ROUND(SUMPRODUCT(I$4:I$6*$G$4:$G$6),1)</f>
        <v>28.5</v>
      </c>
      <c r="J3" s="19" t="e">
        <f t="shared" ref="J3:BK3" si="1">ROUND(SUMPRODUCT(J$4:J$6*$G$4:$G$6),1)</f>
        <v>#VALUE!</v>
      </c>
      <c r="K3" s="19" t="e">
        <f t="shared" si="1"/>
        <v>#VALUE!</v>
      </c>
      <c r="L3" s="19" t="e">
        <f t="shared" si="1"/>
        <v>#VALUE!</v>
      </c>
      <c r="M3" s="19">
        <f t="shared" si="1"/>
        <v>74.400000000000006</v>
      </c>
      <c r="N3" s="19" t="e">
        <f t="shared" si="1"/>
        <v>#VALUE!</v>
      </c>
      <c r="O3" s="19">
        <f t="shared" si="1"/>
        <v>41.6</v>
      </c>
      <c r="P3" s="19" t="e">
        <f t="shared" si="1"/>
        <v>#VALUE!</v>
      </c>
      <c r="Q3" s="19" t="e">
        <f t="shared" si="1"/>
        <v>#VALUE!</v>
      </c>
      <c r="R3" s="19">
        <f t="shared" si="1"/>
        <v>43.2</v>
      </c>
      <c r="S3" s="19" t="e">
        <f t="shared" si="1"/>
        <v>#VALUE!</v>
      </c>
      <c r="T3" s="19">
        <f t="shared" si="1"/>
        <v>58.6</v>
      </c>
      <c r="U3" s="19">
        <f t="shared" si="1"/>
        <v>40.299999999999997</v>
      </c>
      <c r="V3" s="19">
        <f t="shared" si="1"/>
        <v>48</v>
      </c>
      <c r="W3" s="19" t="e">
        <f t="shared" si="1"/>
        <v>#VALUE!</v>
      </c>
      <c r="X3" s="19">
        <f t="shared" si="1"/>
        <v>69.7</v>
      </c>
      <c r="Y3" s="19">
        <f t="shared" si="1"/>
        <v>59</v>
      </c>
      <c r="Z3" s="19" t="e">
        <f t="shared" si="1"/>
        <v>#VALUE!</v>
      </c>
      <c r="AA3" s="19" t="e">
        <f t="shared" si="1"/>
        <v>#VALUE!</v>
      </c>
      <c r="AB3" s="19" t="e">
        <f t="shared" si="1"/>
        <v>#VALUE!</v>
      </c>
      <c r="AC3" s="19">
        <f t="shared" si="1"/>
        <v>54</v>
      </c>
      <c r="AD3" s="19">
        <f t="shared" si="1"/>
        <v>30.2</v>
      </c>
      <c r="AE3" s="19">
        <f t="shared" si="1"/>
        <v>47.1</v>
      </c>
      <c r="AF3" s="19" t="e">
        <f t="shared" si="1"/>
        <v>#VALUE!</v>
      </c>
      <c r="AG3" s="19" t="e">
        <f t="shared" si="1"/>
        <v>#VALUE!</v>
      </c>
      <c r="AH3" s="19">
        <f t="shared" si="1"/>
        <v>21.2</v>
      </c>
      <c r="AI3" s="19" t="e">
        <f t="shared" si="1"/>
        <v>#VALUE!</v>
      </c>
      <c r="AJ3" s="19" t="e">
        <f t="shared" si="1"/>
        <v>#VALUE!</v>
      </c>
      <c r="AK3" s="19" t="e">
        <f t="shared" si="1"/>
        <v>#VALUE!</v>
      </c>
      <c r="AL3" s="19" t="e">
        <f t="shared" si="1"/>
        <v>#VALUE!</v>
      </c>
      <c r="AM3" s="19">
        <f t="shared" si="1"/>
        <v>47.5</v>
      </c>
      <c r="AN3" s="19" t="e">
        <f t="shared" si="1"/>
        <v>#VALUE!</v>
      </c>
      <c r="AO3" s="19" t="e">
        <f t="shared" si="1"/>
        <v>#VALUE!</v>
      </c>
      <c r="AP3" s="19" t="e">
        <f t="shared" si="1"/>
        <v>#VALUE!</v>
      </c>
      <c r="AQ3" s="19" t="e">
        <f t="shared" si="1"/>
        <v>#VALUE!</v>
      </c>
      <c r="AR3" s="19">
        <f t="shared" si="1"/>
        <v>58</v>
      </c>
      <c r="AS3" s="19" t="e">
        <f t="shared" si="1"/>
        <v>#VALUE!</v>
      </c>
      <c r="AT3" s="19" t="e">
        <f t="shared" si="1"/>
        <v>#VALUE!</v>
      </c>
      <c r="AU3" s="19">
        <f t="shared" si="1"/>
        <v>47.5</v>
      </c>
      <c r="AV3" s="19">
        <f t="shared" si="1"/>
        <v>49.6</v>
      </c>
      <c r="AW3" s="19">
        <f t="shared" si="1"/>
        <v>76.599999999999994</v>
      </c>
      <c r="AX3" s="19" t="e">
        <f t="shared" si="1"/>
        <v>#VALUE!</v>
      </c>
      <c r="AY3" s="19" t="e">
        <f t="shared" si="1"/>
        <v>#VALUE!</v>
      </c>
      <c r="AZ3" s="19" t="e">
        <f t="shared" si="1"/>
        <v>#VALUE!</v>
      </c>
      <c r="BA3" s="19" t="e">
        <f t="shared" si="1"/>
        <v>#VALUE!</v>
      </c>
      <c r="BB3" s="19" t="e">
        <f t="shared" si="1"/>
        <v>#VALUE!</v>
      </c>
      <c r="BC3" s="19" t="e">
        <f t="shared" si="1"/>
        <v>#VALUE!</v>
      </c>
      <c r="BD3" s="19" t="e">
        <f t="shared" si="1"/>
        <v>#VALUE!</v>
      </c>
      <c r="BE3" s="19" t="e">
        <f t="shared" si="1"/>
        <v>#VALUE!</v>
      </c>
      <c r="BF3" s="19" t="e">
        <f t="shared" si="1"/>
        <v>#VALUE!</v>
      </c>
      <c r="BG3" s="19" t="e">
        <f t="shared" si="1"/>
        <v>#VALUE!</v>
      </c>
      <c r="BH3" s="19">
        <f t="shared" si="1"/>
        <v>28.4</v>
      </c>
      <c r="BI3" s="19">
        <f t="shared" si="1"/>
        <v>25</v>
      </c>
      <c r="BJ3" s="19" t="e">
        <f t="shared" si="1"/>
        <v>#VALUE!</v>
      </c>
      <c r="BK3" s="19" t="e">
        <f t="shared" si="1"/>
        <v>#VALUE!</v>
      </c>
    </row>
    <row r="4" spans="1:63">
      <c r="C4" t="str">
        <f ca="1">tblIndByType!A3</f>
        <v>RF00</v>
      </c>
      <c r="D4" s="4" t="s">
        <v>906</v>
      </c>
      <c r="E4">
        <f ca="1">MATCH(C4,Weights!C$4:C$89,0)</f>
        <v>1</v>
      </c>
      <c r="F4">
        <f ca="1">INDEX(Weights!G$4:G$89,E4)</f>
        <v>4</v>
      </c>
      <c r="G4">
        <f>F4/SUMIF(D$4:D$6,D4,F$4:F$6)</f>
        <v>0.4</v>
      </c>
      <c r="H4" t="str">
        <f ca="1">tblIndByType!C3</f>
        <v xml:space="preserve">Regulatory Framework </v>
      </c>
      <c r="I4" s="19">
        <f t="shared" ref="I4:R6" si="2">ROUND(SUMPRODUCT(($D$12:$D$30=$C4)*I$12:I$30*$G$12:$G$30*25),1)</f>
        <v>18.8</v>
      </c>
      <c r="J4" s="19" t="e">
        <f t="shared" si="2"/>
        <v>#VALUE!</v>
      </c>
      <c r="K4" s="19" t="e">
        <f t="shared" si="2"/>
        <v>#VALUE!</v>
      </c>
      <c r="L4" s="19" t="e">
        <f t="shared" si="2"/>
        <v>#VALUE!</v>
      </c>
      <c r="M4" s="19">
        <f t="shared" si="2"/>
        <v>87.5</v>
      </c>
      <c r="N4" s="19" t="e">
        <f t="shared" si="2"/>
        <v>#VALUE!</v>
      </c>
      <c r="O4" s="19">
        <f t="shared" si="2"/>
        <v>43.8</v>
      </c>
      <c r="P4" s="19" t="e">
        <f t="shared" si="2"/>
        <v>#VALUE!</v>
      </c>
      <c r="Q4" s="19" t="e">
        <f t="shared" si="2"/>
        <v>#VALUE!</v>
      </c>
      <c r="R4" s="19">
        <f t="shared" si="2"/>
        <v>37.5</v>
      </c>
      <c r="S4" s="19" t="e">
        <f t="shared" ref="S4:AB6" si="3">ROUND(SUMPRODUCT(($D$12:$D$30=$C4)*S$12:S$30*$G$12:$G$30*25),1)</f>
        <v>#VALUE!</v>
      </c>
      <c r="T4" s="19">
        <f t="shared" si="3"/>
        <v>62.5</v>
      </c>
      <c r="U4" s="19">
        <f t="shared" si="3"/>
        <v>37.5</v>
      </c>
      <c r="V4" s="19">
        <f t="shared" si="3"/>
        <v>50</v>
      </c>
      <c r="W4" s="19" t="e">
        <f t="shared" si="3"/>
        <v>#VALUE!</v>
      </c>
      <c r="X4" s="19">
        <f t="shared" si="3"/>
        <v>75</v>
      </c>
      <c r="Y4" s="19">
        <f t="shared" si="3"/>
        <v>56.3</v>
      </c>
      <c r="Z4" s="19" t="e">
        <f t="shared" si="3"/>
        <v>#VALUE!</v>
      </c>
      <c r="AA4" s="19" t="e">
        <f t="shared" si="3"/>
        <v>#VALUE!</v>
      </c>
      <c r="AB4" s="19" t="e">
        <f t="shared" si="3"/>
        <v>#VALUE!</v>
      </c>
      <c r="AC4" s="19">
        <f t="shared" ref="AC4:AL6" si="4">ROUND(SUMPRODUCT(($D$12:$D$30=$C4)*AC$12:AC$30*$G$12:$G$30*25),1)</f>
        <v>56.3</v>
      </c>
      <c r="AD4" s="19">
        <f t="shared" si="4"/>
        <v>43.8</v>
      </c>
      <c r="AE4" s="19">
        <f t="shared" si="4"/>
        <v>50</v>
      </c>
      <c r="AF4" s="19" t="e">
        <f t="shared" si="4"/>
        <v>#VALUE!</v>
      </c>
      <c r="AG4" s="19" t="e">
        <f t="shared" si="4"/>
        <v>#VALUE!</v>
      </c>
      <c r="AH4" s="19">
        <f t="shared" si="4"/>
        <v>25</v>
      </c>
      <c r="AI4" s="19" t="e">
        <f t="shared" si="4"/>
        <v>#VALUE!</v>
      </c>
      <c r="AJ4" s="19" t="e">
        <f t="shared" si="4"/>
        <v>#VALUE!</v>
      </c>
      <c r="AK4" s="19" t="e">
        <f t="shared" si="4"/>
        <v>#VALUE!</v>
      </c>
      <c r="AL4" s="19" t="e">
        <f t="shared" si="4"/>
        <v>#VALUE!</v>
      </c>
      <c r="AM4" s="19">
        <f t="shared" ref="AM4:AV6" si="5">ROUND(SUMPRODUCT(($D$12:$D$30=$C4)*AM$12:AM$30*$G$12:$G$30*25),1)</f>
        <v>56.3</v>
      </c>
      <c r="AN4" s="19" t="e">
        <f t="shared" si="5"/>
        <v>#VALUE!</v>
      </c>
      <c r="AO4" s="19" t="e">
        <f t="shared" si="5"/>
        <v>#VALUE!</v>
      </c>
      <c r="AP4" s="19" t="e">
        <f t="shared" si="5"/>
        <v>#VALUE!</v>
      </c>
      <c r="AQ4" s="19" t="e">
        <f t="shared" si="5"/>
        <v>#VALUE!</v>
      </c>
      <c r="AR4" s="19">
        <f t="shared" si="5"/>
        <v>56.3</v>
      </c>
      <c r="AS4" s="19" t="e">
        <f t="shared" si="5"/>
        <v>#VALUE!</v>
      </c>
      <c r="AT4" s="19" t="e">
        <f t="shared" si="5"/>
        <v>#VALUE!</v>
      </c>
      <c r="AU4" s="19">
        <f t="shared" si="5"/>
        <v>56.3</v>
      </c>
      <c r="AV4" s="19">
        <f t="shared" si="5"/>
        <v>62.5</v>
      </c>
      <c r="AW4" s="19">
        <f t="shared" ref="AW4:BK6" si="6">ROUND(SUMPRODUCT(($D$12:$D$30=$C4)*AW$12:AW$30*$G$12:$G$30*25),1)</f>
        <v>87.5</v>
      </c>
      <c r="AX4" s="19" t="e">
        <f t="shared" si="6"/>
        <v>#VALUE!</v>
      </c>
      <c r="AY4" s="19" t="e">
        <f t="shared" si="6"/>
        <v>#VALUE!</v>
      </c>
      <c r="AZ4" s="19" t="e">
        <f t="shared" si="6"/>
        <v>#VALUE!</v>
      </c>
      <c r="BA4" s="19" t="e">
        <f t="shared" si="6"/>
        <v>#VALUE!</v>
      </c>
      <c r="BB4" s="19" t="e">
        <f t="shared" si="6"/>
        <v>#VALUE!</v>
      </c>
      <c r="BC4" s="19" t="e">
        <f t="shared" si="6"/>
        <v>#VALUE!</v>
      </c>
      <c r="BD4" s="19" t="e">
        <f t="shared" si="6"/>
        <v>#VALUE!</v>
      </c>
      <c r="BE4" s="19" t="e">
        <f t="shared" si="6"/>
        <v>#VALUE!</v>
      </c>
      <c r="BF4" s="19" t="e">
        <f t="shared" si="6"/>
        <v>#VALUE!</v>
      </c>
      <c r="BG4" s="19" t="e">
        <f t="shared" si="6"/>
        <v>#VALUE!</v>
      </c>
      <c r="BH4" s="19">
        <f t="shared" si="6"/>
        <v>31.3</v>
      </c>
      <c r="BI4" s="19">
        <f t="shared" si="6"/>
        <v>25</v>
      </c>
      <c r="BJ4" s="19" t="e">
        <f t="shared" si="6"/>
        <v>#VALUE!</v>
      </c>
      <c r="BK4" s="19" t="e">
        <f t="shared" si="6"/>
        <v>#VALUE!</v>
      </c>
    </row>
    <row r="5" spans="1:63">
      <c r="C5" t="str">
        <f ca="1">tblIndByType!A4</f>
        <v>IC00</v>
      </c>
      <c r="D5" s="4" t="s">
        <v>906</v>
      </c>
      <c r="E5">
        <f ca="1">MATCH(C5,Weights!C$4:C$89,0)</f>
        <v>2</v>
      </c>
      <c r="F5">
        <f ca="1">INDEX(Weights!G$4:G$89,E5)</f>
        <v>2</v>
      </c>
      <c r="G5">
        <f>F5/SUMIF(D$4:D$6,D5,F$4:F$6)</f>
        <v>0.2</v>
      </c>
      <c r="H5" t="str">
        <f ca="1">tblIndByType!C4</f>
        <v>Investment Climate</v>
      </c>
      <c r="I5" s="19">
        <f t="shared" si="2"/>
        <v>38.299999999999997</v>
      </c>
      <c r="J5" s="19" t="e">
        <f t="shared" si="2"/>
        <v>#VALUE!</v>
      </c>
      <c r="K5" s="19" t="e">
        <f t="shared" si="2"/>
        <v>#VALUE!</v>
      </c>
      <c r="L5" s="19" t="e">
        <f t="shared" si="2"/>
        <v>#VALUE!</v>
      </c>
      <c r="M5" s="19">
        <f t="shared" si="2"/>
        <v>46.9</v>
      </c>
      <c r="N5" s="19" t="e">
        <f t="shared" si="2"/>
        <v>#VALUE!</v>
      </c>
      <c r="O5" s="19">
        <f t="shared" si="2"/>
        <v>53.6</v>
      </c>
      <c r="P5" s="19" t="e">
        <f t="shared" si="2"/>
        <v>#VALUE!</v>
      </c>
      <c r="Q5" s="19" t="e">
        <f t="shared" si="2"/>
        <v>#VALUE!</v>
      </c>
      <c r="R5" s="19">
        <f t="shared" si="2"/>
        <v>74.2</v>
      </c>
      <c r="S5" s="19" t="e">
        <f t="shared" si="3"/>
        <v>#VALUE!</v>
      </c>
      <c r="T5" s="19">
        <f t="shared" si="3"/>
        <v>51.4</v>
      </c>
      <c r="U5" s="19">
        <f t="shared" si="3"/>
        <v>59.7</v>
      </c>
      <c r="V5" s="19">
        <f t="shared" si="3"/>
        <v>40</v>
      </c>
      <c r="W5" s="19" t="e">
        <f t="shared" si="3"/>
        <v>#VALUE!</v>
      </c>
      <c r="X5" s="19">
        <f t="shared" si="3"/>
        <v>31.7</v>
      </c>
      <c r="Y5" s="19">
        <f t="shared" si="3"/>
        <v>49.2</v>
      </c>
      <c r="Z5" s="19" t="e">
        <f t="shared" si="3"/>
        <v>#VALUE!</v>
      </c>
      <c r="AA5" s="19" t="e">
        <f t="shared" si="3"/>
        <v>#VALUE!</v>
      </c>
      <c r="AB5" s="19" t="e">
        <f t="shared" si="3"/>
        <v>#VALUE!</v>
      </c>
      <c r="AC5" s="19">
        <f t="shared" si="4"/>
        <v>40.799999999999997</v>
      </c>
      <c r="AD5" s="19">
        <f t="shared" si="4"/>
        <v>30</v>
      </c>
      <c r="AE5" s="19">
        <f t="shared" si="4"/>
        <v>35.5</v>
      </c>
      <c r="AF5" s="19" t="e">
        <f t="shared" si="4"/>
        <v>#VALUE!</v>
      </c>
      <c r="AG5" s="19" t="e">
        <f t="shared" si="4"/>
        <v>#VALUE!</v>
      </c>
      <c r="AH5" s="19">
        <f t="shared" si="4"/>
        <v>55.8</v>
      </c>
      <c r="AI5" s="19" t="e">
        <f t="shared" si="4"/>
        <v>#VALUE!</v>
      </c>
      <c r="AJ5" s="19" t="e">
        <f t="shared" si="4"/>
        <v>#VALUE!</v>
      </c>
      <c r="AK5" s="19" t="e">
        <f t="shared" si="4"/>
        <v>#VALUE!</v>
      </c>
      <c r="AL5" s="19" t="e">
        <f t="shared" si="4"/>
        <v>#VALUE!</v>
      </c>
      <c r="AM5" s="19">
        <f t="shared" si="5"/>
        <v>58.3</v>
      </c>
      <c r="AN5" s="19" t="e">
        <f t="shared" si="5"/>
        <v>#VALUE!</v>
      </c>
      <c r="AO5" s="19" t="e">
        <f t="shared" si="5"/>
        <v>#VALUE!</v>
      </c>
      <c r="AP5" s="19" t="e">
        <f t="shared" si="5"/>
        <v>#VALUE!</v>
      </c>
      <c r="AQ5" s="19" t="e">
        <f t="shared" si="5"/>
        <v>#VALUE!</v>
      </c>
      <c r="AR5" s="19">
        <f t="shared" si="5"/>
        <v>44.2</v>
      </c>
      <c r="AS5" s="19" t="e">
        <f t="shared" si="5"/>
        <v>#VALUE!</v>
      </c>
      <c r="AT5" s="19" t="e">
        <f t="shared" si="5"/>
        <v>#VALUE!</v>
      </c>
      <c r="AU5" s="19">
        <f t="shared" si="5"/>
        <v>58.3</v>
      </c>
      <c r="AV5" s="19">
        <f t="shared" si="5"/>
        <v>39.700000000000003</v>
      </c>
      <c r="AW5" s="19">
        <f t="shared" si="6"/>
        <v>58</v>
      </c>
      <c r="AX5" s="19" t="e">
        <f t="shared" si="6"/>
        <v>#VALUE!</v>
      </c>
      <c r="AY5" s="19" t="e">
        <f t="shared" si="6"/>
        <v>#VALUE!</v>
      </c>
      <c r="AZ5" s="19" t="e">
        <f t="shared" si="6"/>
        <v>#VALUE!</v>
      </c>
      <c r="BA5" s="19" t="e">
        <f t="shared" si="6"/>
        <v>#VALUE!</v>
      </c>
      <c r="BB5" s="19" t="e">
        <f t="shared" si="6"/>
        <v>#VALUE!</v>
      </c>
      <c r="BC5" s="19" t="e">
        <f t="shared" si="6"/>
        <v>#VALUE!</v>
      </c>
      <c r="BD5" s="19" t="e">
        <f t="shared" si="6"/>
        <v>#VALUE!</v>
      </c>
      <c r="BE5" s="19" t="e">
        <f t="shared" si="6"/>
        <v>#VALUE!</v>
      </c>
      <c r="BF5" s="19" t="e">
        <f t="shared" si="6"/>
        <v>#VALUE!</v>
      </c>
      <c r="BG5" s="19" t="e">
        <f t="shared" si="6"/>
        <v>#VALUE!</v>
      </c>
      <c r="BH5" s="19">
        <f t="shared" si="6"/>
        <v>45.8</v>
      </c>
      <c r="BI5" s="19">
        <f t="shared" si="6"/>
        <v>41.4</v>
      </c>
      <c r="BJ5" s="19" t="e">
        <f t="shared" si="6"/>
        <v>#VALUE!</v>
      </c>
      <c r="BK5" s="19" t="e">
        <f t="shared" si="6"/>
        <v>#VALUE!</v>
      </c>
    </row>
    <row r="6" spans="1:63">
      <c r="C6" t="str">
        <f ca="1">tblIndByType!A5</f>
        <v>ID00</v>
      </c>
      <c r="D6" s="4" t="s">
        <v>906</v>
      </c>
      <c r="E6">
        <f ca="1">MATCH(C6,Weights!C$4:C$89,0)</f>
        <v>3</v>
      </c>
      <c r="F6">
        <f ca="1">INDEX(Weights!G$4:G$89,E6)</f>
        <v>4</v>
      </c>
      <c r="G6">
        <f>F6/SUMIF(D$4:D$6,D6,F$4:F$6)</f>
        <v>0.4</v>
      </c>
      <c r="H6" t="str">
        <f ca="1">tblIndByType!C5</f>
        <v>Institutional Development</v>
      </c>
      <c r="I6" s="19">
        <f t="shared" si="2"/>
        <v>33.299999999999997</v>
      </c>
      <c r="J6" s="19" t="e">
        <f t="shared" si="2"/>
        <v>#VALUE!</v>
      </c>
      <c r="K6" s="19" t="e">
        <f t="shared" si="2"/>
        <v>#VALUE!</v>
      </c>
      <c r="L6" s="19" t="e">
        <f t="shared" si="2"/>
        <v>#VALUE!</v>
      </c>
      <c r="M6" s="19">
        <f t="shared" si="2"/>
        <v>75</v>
      </c>
      <c r="N6" s="19" t="e">
        <f t="shared" si="2"/>
        <v>#VALUE!</v>
      </c>
      <c r="O6" s="19">
        <f t="shared" si="2"/>
        <v>33.299999999999997</v>
      </c>
      <c r="P6" s="19" t="e">
        <f t="shared" si="2"/>
        <v>#VALUE!</v>
      </c>
      <c r="Q6" s="19" t="e">
        <f t="shared" si="2"/>
        <v>#VALUE!</v>
      </c>
      <c r="R6" s="19">
        <f t="shared" si="2"/>
        <v>33.299999999999997</v>
      </c>
      <c r="S6" s="19" t="e">
        <f t="shared" si="3"/>
        <v>#VALUE!</v>
      </c>
      <c r="T6" s="19">
        <f t="shared" si="3"/>
        <v>58.3</v>
      </c>
      <c r="U6" s="19">
        <f t="shared" si="3"/>
        <v>33.299999999999997</v>
      </c>
      <c r="V6" s="19">
        <f t="shared" si="3"/>
        <v>50</v>
      </c>
      <c r="W6" s="19" t="e">
        <f t="shared" si="3"/>
        <v>#VALUE!</v>
      </c>
      <c r="X6" s="19">
        <f t="shared" si="3"/>
        <v>83.3</v>
      </c>
      <c r="Y6" s="19">
        <f t="shared" si="3"/>
        <v>66.7</v>
      </c>
      <c r="Z6" s="19" t="e">
        <f t="shared" si="3"/>
        <v>#VALUE!</v>
      </c>
      <c r="AA6" s="19" t="e">
        <f t="shared" si="3"/>
        <v>#VALUE!</v>
      </c>
      <c r="AB6" s="19" t="e">
        <f t="shared" si="3"/>
        <v>#VALUE!</v>
      </c>
      <c r="AC6" s="19">
        <f t="shared" si="4"/>
        <v>58.3</v>
      </c>
      <c r="AD6" s="19">
        <f t="shared" si="4"/>
        <v>16.7</v>
      </c>
      <c r="AE6" s="19">
        <f t="shared" si="4"/>
        <v>50</v>
      </c>
      <c r="AF6" s="19" t="e">
        <f t="shared" si="4"/>
        <v>#VALUE!</v>
      </c>
      <c r="AG6" s="19" t="e">
        <f t="shared" si="4"/>
        <v>#VALUE!</v>
      </c>
      <c r="AH6" s="19">
        <f t="shared" si="4"/>
        <v>0</v>
      </c>
      <c r="AI6" s="19" t="e">
        <f t="shared" si="4"/>
        <v>#VALUE!</v>
      </c>
      <c r="AJ6" s="19" t="e">
        <f t="shared" si="4"/>
        <v>#VALUE!</v>
      </c>
      <c r="AK6" s="19" t="e">
        <f t="shared" si="4"/>
        <v>#VALUE!</v>
      </c>
      <c r="AL6" s="19" t="e">
        <f t="shared" si="4"/>
        <v>#VALUE!</v>
      </c>
      <c r="AM6" s="19">
        <f t="shared" si="5"/>
        <v>33.299999999999997</v>
      </c>
      <c r="AN6" s="19" t="e">
        <f t="shared" si="5"/>
        <v>#VALUE!</v>
      </c>
      <c r="AO6" s="19" t="e">
        <f t="shared" si="5"/>
        <v>#VALUE!</v>
      </c>
      <c r="AP6" s="19" t="e">
        <f t="shared" si="5"/>
        <v>#VALUE!</v>
      </c>
      <c r="AQ6" s="19" t="e">
        <f t="shared" si="5"/>
        <v>#VALUE!</v>
      </c>
      <c r="AR6" s="19">
        <f t="shared" si="5"/>
        <v>66.7</v>
      </c>
      <c r="AS6" s="19" t="e">
        <f t="shared" si="5"/>
        <v>#VALUE!</v>
      </c>
      <c r="AT6" s="19" t="e">
        <f t="shared" si="5"/>
        <v>#VALUE!</v>
      </c>
      <c r="AU6" s="19">
        <f t="shared" si="5"/>
        <v>33.299999999999997</v>
      </c>
      <c r="AV6" s="19">
        <f t="shared" si="5"/>
        <v>41.7</v>
      </c>
      <c r="AW6" s="19">
        <f t="shared" si="6"/>
        <v>75</v>
      </c>
      <c r="AX6" s="19" t="e">
        <f t="shared" si="6"/>
        <v>#VALUE!</v>
      </c>
      <c r="AY6" s="19" t="e">
        <f t="shared" si="6"/>
        <v>#VALUE!</v>
      </c>
      <c r="AZ6" s="19" t="e">
        <f t="shared" si="6"/>
        <v>#VALUE!</v>
      </c>
      <c r="BA6" s="19" t="e">
        <f t="shared" si="6"/>
        <v>#VALUE!</v>
      </c>
      <c r="BB6" s="19" t="e">
        <f t="shared" si="6"/>
        <v>#VALUE!</v>
      </c>
      <c r="BC6" s="19" t="e">
        <f t="shared" si="6"/>
        <v>#VALUE!</v>
      </c>
      <c r="BD6" s="19" t="e">
        <f t="shared" si="6"/>
        <v>#VALUE!</v>
      </c>
      <c r="BE6" s="19" t="e">
        <f t="shared" si="6"/>
        <v>#VALUE!</v>
      </c>
      <c r="BF6" s="19" t="e">
        <f t="shared" si="6"/>
        <v>#VALUE!</v>
      </c>
      <c r="BG6" s="19" t="e">
        <f t="shared" si="6"/>
        <v>#VALUE!</v>
      </c>
      <c r="BH6" s="19">
        <f t="shared" si="6"/>
        <v>16.7</v>
      </c>
      <c r="BI6" s="19">
        <f t="shared" si="6"/>
        <v>16.7</v>
      </c>
      <c r="BJ6" s="19" t="e">
        <f t="shared" si="6"/>
        <v>#VALUE!</v>
      </c>
      <c r="BK6" s="19" t="e">
        <f t="shared" si="6"/>
        <v>#VALUE!</v>
      </c>
    </row>
    <row r="9" spans="1:63">
      <c r="E9" s="1" t="s">
        <v>941</v>
      </c>
      <c r="F9" s="1" t="s">
        <v>942</v>
      </c>
      <c r="G9" s="1" t="s">
        <v>943</v>
      </c>
    </row>
    <row r="10" spans="1:63">
      <c r="A10">
        <f ca="1">tblIndicators!A2</f>
        <v>1</v>
      </c>
      <c r="B10">
        <f ca="1">tblIndicators!B2</f>
        <v>0</v>
      </c>
      <c r="C10" t="str">
        <f ca="1">tblIndicators!C2</f>
        <v>OVERALL</v>
      </c>
      <c r="D10">
        <f ca="1">tblIndicators!D2</f>
        <v>0</v>
      </c>
      <c r="F10">
        <v>1</v>
      </c>
      <c r="H10" t="str">
        <f ca="1">tblIndicators!K2</f>
        <v>Overall score</v>
      </c>
    </row>
    <row r="11" spans="1:63">
      <c r="A11">
        <f ca="1">tblIndicators!A3</f>
        <v>2</v>
      </c>
      <c r="B11">
        <f ca="1">tblIndicators!B3</f>
        <v>1</v>
      </c>
      <c r="C11" t="str">
        <f ca="1">tblIndicators!C3</f>
        <v>RF00</v>
      </c>
      <c r="D11" t="str">
        <f ca="1">tblIndicators!D3</f>
        <v>OVERALL</v>
      </c>
      <c r="E11">
        <f ca="1">MATCH(C11,Weights!C$4:C$89,0)</f>
        <v>1</v>
      </c>
      <c r="F11">
        <f ca="1">INDEX(Weights!G$4:G$89,E11)</f>
        <v>4</v>
      </c>
      <c r="G11">
        <f>F11/SUMIF(D$11:D$26,D11,F$11:F$26)</f>
        <v>0.4</v>
      </c>
      <c r="H11" t="str">
        <f ca="1">tblIndicators!K3</f>
        <v xml:space="preserve">     Regulatory Framework </v>
      </c>
    </row>
    <row r="12" spans="1:63">
      <c r="A12">
        <f ca="1">tblIndicators!A4</f>
        <v>3</v>
      </c>
      <c r="B12">
        <f ca="1">tblIndicators!B4</f>
        <v>2</v>
      </c>
      <c r="C12" t="str">
        <f ca="1">tblIndicators!C4</f>
        <v>RF01</v>
      </c>
      <c r="D12" t="str">
        <f ca="1">tblIndicators!D4</f>
        <v>RF00</v>
      </c>
      <c r="E12">
        <f ca="1">MATCH(C12,Weights!C$4:C$89,0)</f>
        <v>7</v>
      </c>
      <c r="F12">
        <f ca="1">INDEX(Weights!G$4:G$89,E12)</f>
        <v>1</v>
      </c>
      <c r="G12">
        <f t="shared" ref="G12:G26" si="7">F12/SUMIF(D$11:D$26,D12,F$11:F$26)</f>
        <v>0.25</v>
      </c>
      <c r="H12" t="str">
        <f ca="1">tblIndicators!K4</f>
        <v xml:space="preserve">          Regulation of microcredit operations</v>
      </c>
      <c r="I12" s="19">
        <v>1</v>
      </c>
      <c r="J12" s="19" t="s">
        <v>1140</v>
      </c>
      <c r="K12" s="19" t="s">
        <v>1140</v>
      </c>
      <c r="L12" s="19" t="s">
        <v>1140</v>
      </c>
      <c r="M12" s="19">
        <v>3</v>
      </c>
      <c r="N12" s="19" t="s">
        <v>1140</v>
      </c>
      <c r="O12" s="19">
        <v>2</v>
      </c>
      <c r="P12" s="19" t="s">
        <v>1140</v>
      </c>
      <c r="Q12" s="19" t="s">
        <v>1140</v>
      </c>
      <c r="R12" s="19">
        <v>2</v>
      </c>
      <c r="S12" s="19" t="s">
        <v>1140</v>
      </c>
      <c r="T12" s="19">
        <v>2</v>
      </c>
      <c r="U12" s="19">
        <v>2</v>
      </c>
      <c r="V12" s="19">
        <v>3</v>
      </c>
      <c r="W12" s="19" t="s">
        <v>1140</v>
      </c>
      <c r="X12" s="19">
        <v>3</v>
      </c>
      <c r="Y12" s="19">
        <v>2</v>
      </c>
      <c r="Z12" s="19" t="s">
        <v>1140</v>
      </c>
      <c r="AA12" s="19" t="s">
        <v>1140</v>
      </c>
      <c r="AB12" s="19" t="s">
        <v>1140</v>
      </c>
      <c r="AC12" s="19">
        <v>3</v>
      </c>
      <c r="AD12" s="19">
        <v>2</v>
      </c>
      <c r="AE12" s="19">
        <v>2</v>
      </c>
      <c r="AF12" s="19" t="s">
        <v>1140</v>
      </c>
      <c r="AG12" s="19" t="s">
        <v>1140</v>
      </c>
      <c r="AH12" s="19">
        <v>1</v>
      </c>
      <c r="AI12" s="19" t="s">
        <v>1140</v>
      </c>
      <c r="AJ12" s="19" t="s">
        <v>1140</v>
      </c>
      <c r="AK12" s="19" t="s">
        <v>1140</v>
      </c>
      <c r="AL12" s="19" t="s">
        <v>1140</v>
      </c>
      <c r="AM12" s="19">
        <v>2</v>
      </c>
      <c r="AN12" s="19" t="s">
        <v>1140</v>
      </c>
      <c r="AO12" s="19" t="s">
        <v>1140</v>
      </c>
      <c r="AP12" s="19" t="s">
        <v>1140</v>
      </c>
      <c r="AQ12" s="19" t="s">
        <v>1140</v>
      </c>
      <c r="AR12" s="19">
        <v>2</v>
      </c>
      <c r="AS12" s="19" t="s">
        <v>1140</v>
      </c>
      <c r="AT12" s="19" t="s">
        <v>1140</v>
      </c>
      <c r="AU12" s="19">
        <v>3</v>
      </c>
      <c r="AV12" s="19">
        <v>3</v>
      </c>
      <c r="AW12" s="19">
        <v>4</v>
      </c>
      <c r="AX12" s="19" t="s">
        <v>1140</v>
      </c>
      <c r="AY12" s="19" t="s">
        <v>1140</v>
      </c>
      <c r="AZ12" s="19" t="s">
        <v>1140</v>
      </c>
      <c r="BA12" s="19" t="s">
        <v>1140</v>
      </c>
      <c r="BB12" s="19" t="s">
        <v>1140</v>
      </c>
      <c r="BC12" s="19" t="s">
        <v>1140</v>
      </c>
      <c r="BD12" s="19" t="s">
        <v>1140</v>
      </c>
      <c r="BE12" s="19" t="s">
        <v>1140</v>
      </c>
      <c r="BF12" s="19" t="s">
        <v>1140</v>
      </c>
      <c r="BG12" s="19" t="s">
        <v>1140</v>
      </c>
      <c r="BH12" s="19">
        <v>2</v>
      </c>
      <c r="BI12" s="19">
        <v>1</v>
      </c>
      <c r="BJ12" s="19" t="s">
        <v>1140</v>
      </c>
      <c r="BK12" s="19" t="s">
        <v>1140</v>
      </c>
    </row>
    <row r="13" spans="1:63">
      <c r="A13">
        <f ca="1">tblIndicators!A5</f>
        <v>4</v>
      </c>
      <c r="B13">
        <f ca="1">tblIndicators!B5</f>
        <v>2</v>
      </c>
      <c r="C13" t="str">
        <f ca="1">tblIndicators!C5</f>
        <v>RF02</v>
      </c>
      <c r="D13" t="str">
        <f ca="1">tblIndicators!D5</f>
        <v>RF00</v>
      </c>
      <c r="E13">
        <f ca="1">MATCH(C13,Weights!C$4:C$89,0)</f>
        <v>8</v>
      </c>
      <c r="F13">
        <f ca="1">INDEX(Weights!G$4:G$89,E13)</f>
        <v>1</v>
      </c>
      <c r="G13">
        <f t="shared" si="7"/>
        <v>0.25</v>
      </c>
      <c r="H13" t="str">
        <f ca="1">tblIndicators!K5</f>
        <v xml:space="preserve">          Formation and operation of regulated, specialised MFIs</v>
      </c>
      <c r="I13" s="19">
        <v>1</v>
      </c>
      <c r="J13" s="19" t="s">
        <v>1140</v>
      </c>
      <c r="K13" s="19" t="s">
        <v>1140</v>
      </c>
      <c r="L13" s="19" t="s">
        <v>1140</v>
      </c>
      <c r="M13" s="19">
        <v>3</v>
      </c>
      <c r="N13" s="19" t="s">
        <v>1140</v>
      </c>
      <c r="O13" s="19">
        <v>2</v>
      </c>
      <c r="P13" s="19" t="s">
        <v>1140</v>
      </c>
      <c r="Q13" s="19" t="s">
        <v>1140</v>
      </c>
      <c r="R13" s="19">
        <v>1</v>
      </c>
      <c r="S13" s="19" t="s">
        <v>1140</v>
      </c>
      <c r="T13" s="19">
        <v>2</v>
      </c>
      <c r="U13" s="19">
        <v>1</v>
      </c>
      <c r="V13" s="19">
        <v>2</v>
      </c>
      <c r="W13" s="19" t="s">
        <v>1140</v>
      </c>
      <c r="X13" s="19">
        <v>3</v>
      </c>
      <c r="Y13" s="19">
        <v>2</v>
      </c>
      <c r="Z13" s="19" t="s">
        <v>1140</v>
      </c>
      <c r="AA13" s="19" t="s">
        <v>1140</v>
      </c>
      <c r="AB13" s="19" t="s">
        <v>1140</v>
      </c>
      <c r="AC13" s="19">
        <v>1</v>
      </c>
      <c r="AD13" s="19">
        <v>1</v>
      </c>
      <c r="AE13" s="19">
        <v>2</v>
      </c>
      <c r="AF13" s="19" t="s">
        <v>1140</v>
      </c>
      <c r="AG13" s="19" t="s">
        <v>1140</v>
      </c>
      <c r="AH13" s="19">
        <v>1</v>
      </c>
      <c r="AI13" s="19" t="s">
        <v>1140</v>
      </c>
      <c r="AJ13" s="19" t="s">
        <v>1140</v>
      </c>
      <c r="AK13" s="19" t="s">
        <v>1140</v>
      </c>
      <c r="AL13" s="19" t="s">
        <v>1140</v>
      </c>
      <c r="AM13" s="19">
        <v>3</v>
      </c>
      <c r="AN13" s="19" t="s">
        <v>1140</v>
      </c>
      <c r="AO13" s="19" t="s">
        <v>1140</v>
      </c>
      <c r="AP13" s="19" t="s">
        <v>1140</v>
      </c>
      <c r="AQ13" s="19" t="s">
        <v>1140</v>
      </c>
      <c r="AR13" s="19">
        <v>2</v>
      </c>
      <c r="AS13" s="19" t="s">
        <v>1140</v>
      </c>
      <c r="AT13" s="19" t="s">
        <v>1140</v>
      </c>
      <c r="AU13" s="19">
        <v>2</v>
      </c>
      <c r="AV13" s="19">
        <v>2</v>
      </c>
      <c r="AW13" s="19">
        <v>4</v>
      </c>
      <c r="AX13" s="19" t="s">
        <v>1140</v>
      </c>
      <c r="AY13" s="19" t="s">
        <v>1140</v>
      </c>
      <c r="AZ13" s="19" t="s">
        <v>1140</v>
      </c>
      <c r="BA13" s="19" t="s">
        <v>1140</v>
      </c>
      <c r="BB13" s="19" t="s">
        <v>1140</v>
      </c>
      <c r="BC13" s="19" t="s">
        <v>1140</v>
      </c>
      <c r="BD13" s="19" t="s">
        <v>1140</v>
      </c>
      <c r="BE13" s="19" t="s">
        <v>1140</v>
      </c>
      <c r="BF13" s="19" t="s">
        <v>1140</v>
      </c>
      <c r="BG13" s="19" t="s">
        <v>1140</v>
      </c>
      <c r="BH13" s="19">
        <v>1</v>
      </c>
      <c r="BI13" s="19">
        <v>1</v>
      </c>
      <c r="BJ13" s="19" t="s">
        <v>1140</v>
      </c>
      <c r="BK13" s="19" t="s">
        <v>1140</v>
      </c>
    </row>
    <row r="14" spans="1:63">
      <c r="A14">
        <f ca="1">tblIndicators!A6</f>
        <v>5</v>
      </c>
      <c r="B14">
        <f ca="1">tblIndicators!B6</f>
        <v>2</v>
      </c>
      <c r="C14" t="str">
        <f ca="1">tblIndicators!C6</f>
        <v>RF03</v>
      </c>
      <c r="D14" t="str">
        <f ca="1">tblIndicators!D6</f>
        <v>RF00</v>
      </c>
      <c r="E14">
        <f ca="1">MATCH(C14,Weights!C$4:C$89,0)</f>
        <v>9</v>
      </c>
      <c r="F14">
        <f ca="1">INDEX(Weights!G$4:G$89,E14)</f>
        <v>1</v>
      </c>
      <c r="G14">
        <f t="shared" si="7"/>
        <v>0.25</v>
      </c>
      <c r="H14" t="str">
        <f ca="1">tblIndicators!K6</f>
        <v xml:space="preserve">          Formation and operation of non-regulated MFIs</v>
      </c>
      <c r="I14" s="19">
        <v>1</v>
      </c>
      <c r="J14" s="19" t="s">
        <v>1140</v>
      </c>
      <c r="K14" s="19" t="s">
        <v>1140</v>
      </c>
      <c r="L14" s="19" t="s">
        <v>1140</v>
      </c>
      <c r="M14" s="19">
        <v>4</v>
      </c>
      <c r="N14" s="19" t="s">
        <v>1140</v>
      </c>
      <c r="O14" s="19">
        <v>2</v>
      </c>
      <c r="P14" s="19" t="s">
        <v>1140</v>
      </c>
      <c r="Q14" s="19" t="s">
        <v>1140</v>
      </c>
      <c r="R14" s="19">
        <v>2</v>
      </c>
      <c r="S14" s="19" t="s">
        <v>1140</v>
      </c>
      <c r="T14" s="19">
        <v>3</v>
      </c>
      <c r="U14" s="19">
        <v>2</v>
      </c>
      <c r="V14" s="19">
        <v>3</v>
      </c>
      <c r="W14" s="19" t="s">
        <v>1140</v>
      </c>
      <c r="X14" s="19">
        <v>3</v>
      </c>
      <c r="Y14" s="19">
        <v>3</v>
      </c>
      <c r="Z14" s="19" t="s">
        <v>1140</v>
      </c>
      <c r="AA14" s="19" t="s">
        <v>1140</v>
      </c>
      <c r="AB14" s="19" t="s">
        <v>1140</v>
      </c>
      <c r="AC14" s="19">
        <v>4</v>
      </c>
      <c r="AD14" s="19">
        <v>3</v>
      </c>
      <c r="AE14" s="19">
        <v>2</v>
      </c>
      <c r="AF14" s="19" t="s">
        <v>1140</v>
      </c>
      <c r="AG14" s="19" t="s">
        <v>1140</v>
      </c>
      <c r="AH14" s="19">
        <v>1</v>
      </c>
      <c r="AI14" s="19" t="s">
        <v>1140</v>
      </c>
      <c r="AJ14" s="19" t="s">
        <v>1140</v>
      </c>
      <c r="AK14" s="19" t="s">
        <v>1140</v>
      </c>
      <c r="AL14" s="19" t="s">
        <v>1140</v>
      </c>
      <c r="AM14" s="19">
        <v>2</v>
      </c>
      <c r="AN14" s="19" t="s">
        <v>1140</v>
      </c>
      <c r="AO14" s="19" t="s">
        <v>1140</v>
      </c>
      <c r="AP14" s="19" t="s">
        <v>1140</v>
      </c>
      <c r="AQ14" s="19" t="s">
        <v>1140</v>
      </c>
      <c r="AR14" s="19">
        <v>3</v>
      </c>
      <c r="AS14" s="19" t="s">
        <v>1140</v>
      </c>
      <c r="AT14" s="19" t="s">
        <v>1140</v>
      </c>
      <c r="AU14" s="19">
        <v>2</v>
      </c>
      <c r="AV14" s="19">
        <v>3</v>
      </c>
      <c r="AW14" s="19">
        <v>2</v>
      </c>
      <c r="AX14" s="19" t="s">
        <v>1140</v>
      </c>
      <c r="AY14" s="19" t="s">
        <v>1140</v>
      </c>
      <c r="AZ14" s="19" t="s">
        <v>1140</v>
      </c>
      <c r="BA14" s="19" t="s">
        <v>1140</v>
      </c>
      <c r="BB14" s="19" t="s">
        <v>1140</v>
      </c>
      <c r="BC14" s="19" t="s">
        <v>1140</v>
      </c>
      <c r="BD14" s="19" t="s">
        <v>1140</v>
      </c>
      <c r="BE14" s="19" t="s">
        <v>1140</v>
      </c>
      <c r="BF14" s="19" t="s">
        <v>1140</v>
      </c>
      <c r="BG14" s="19" t="s">
        <v>1140</v>
      </c>
      <c r="BH14" s="19">
        <v>1</v>
      </c>
      <c r="BI14" s="19">
        <v>1</v>
      </c>
      <c r="BJ14" s="19" t="s">
        <v>1140</v>
      </c>
      <c r="BK14" s="19" t="s">
        <v>1140</v>
      </c>
    </row>
    <row r="15" spans="1:63">
      <c r="A15">
        <f ca="1">tblIndicators!A7</f>
        <v>6</v>
      </c>
      <c r="B15">
        <f ca="1">tblIndicators!B7</f>
        <v>2</v>
      </c>
      <c r="C15" t="str">
        <f ca="1">tblIndicators!C7</f>
        <v>RF04</v>
      </c>
      <c r="D15" t="str">
        <f ca="1">tblIndicators!D7</f>
        <v>RF00</v>
      </c>
      <c r="E15">
        <f ca="1">MATCH(C15,Weights!C$4:C$89,0)</f>
        <v>10</v>
      </c>
      <c r="F15">
        <f ca="1">INDEX(Weights!G$4:G$89,E15)</f>
        <v>1</v>
      </c>
      <c r="G15">
        <f t="shared" si="7"/>
        <v>0.25</v>
      </c>
      <c r="H15" t="str">
        <f ca="1">tblIndicators!K7</f>
        <v xml:space="preserve">          Regulatory and examination capacity</v>
      </c>
      <c r="I15" s="19">
        <v>0</v>
      </c>
      <c r="J15" s="19" t="s">
        <v>1140</v>
      </c>
      <c r="K15" s="19" t="s">
        <v>1140</v>
      </c>
      <c r="L15" s="19" t="s">
        <v>1140</v>
      </c>
      <c r="M15" s="19">
        <v>4</v>
      </c>
      <c r="N15" s="19" t="s">
        <v>1140</v>
      </c>
      <c r="O15" s="19">
        <v>1</v>
      </c>
      <c r="P15" s="19" t="s">
        <v>1140</v>
      </c>
      <c r="Q15" s="19" t="s">
        <v>1140</v>
      </c>
      <c r="R15" s="19">
        <v>1</v>
      </c>
      <c r="S15" s="19" t="s">
        <v>1140</v>
      </c>
      <c r="T15" s="19">
        <v>3</v>
      </c>
      <c r="U15" s="19">
        <v>1</v>
      </c>
      <c r="V15" s="19">
        <v>0</v>
      </c>
      <c r="W15" s="19" t="s">
        <v>1140</v>
      </c>
      <c r="X15" s="19">
        <v>3</v>
      </c>
      <c r="Y15" s="19">
        <v>2</v>
      </c>
      <c r="Z15" s="19" t="s">
        <v>1140</v>
      </c>
      <c r="AA15" s="19" t="s">
        <v>1140</v>
      </c>
      <c r="AB15" s="19" t="s">
        <v>1140</v>
      </c>
      <c r="AC15" s="19">
        <v>1</v>
      </c>
      <c r="AD15" s="19">
        <v>1</v>
      </c>
      <c r="AE15" s="19">
        <v>2</v>
      </c>
      <c r="AF15" s="19" t="s">
        <v>1140</v>
      </c>
      <c r="AG15" s="19" t="s">
        <v>1140</v>
      </c>
      <c r="AH15" s="19">
        <v>1</v>
      </c>
      <c r="AI15" s="19" t="s">
        <v>1140</v>
      </c>
      <c r="AJ15" s="19" t="s">
        <v>1140</v>
      </c>
      <c r="AK15" s="19" t="s">
        <v>1140</v>
      </c>
      <c r="AL15" s="19" t="s">
        <v>1140</v>
      </c>
      <c r="AM15" s="19">
        <v>2</v>
      </c>
      <c r="AN15" s="19" t="s">
        <v>1140</v>
      </c>
      <c r="AO15" s="19" t="s">
        <v>1140</v>
      </c>
      <c r="AP15" s="19" t="s">
        <v>1140</v>
      </c>
      <c r="AQ15" s="19" t="s">
        <v>1140</v>
      </c>
      <c r="AR15" s="19">
        <v>2</v>
      </c>
      <c r="AS15" s="19" t="s">
        <v>1140</v>
      </c>
      <c r="AT15" s="19" t="s">
        <v>1140</v>
      </c>
      <c r="AU15" s="19">
        <v>2</v>
      </c>
      <c r="AV15" s="19">
        <v>2</v>
      </c>
      <c r="AW15" s="19">
        <v>4</v>
      </c>
      <c r="AX15" s="19" t="s">
        <v>1140</v>
      </c>
      <c r="AY15" s="19" t="s">
        <v>1140</v>
      </c>
      <c r="AZ15" s="19" t="s">
        <v>1140</v>
      </c>
      <c r="BA15" s="19" t="s">
        <v>1140</v>
      </c>
      <c r="BB15" s="19" t="s">
        <v>1140</v>
      </c>
      <c r="BC15" s="19" t="s">
        <v>1140</v>
      </c>
      <c r="BD15" s="19" t="s">
        <v>1140</v>
      </c>
      <c r="BE15" s="19" t="s">
        <v>1140</v>
      </c>
      <c r="BF15" s="19" t="s">
        <v>1140</v>
      </c>
      <c r="BG15" s="19" t="s">
        <v>1140</v>
      </c>
      <c r="BH15" s="19">
        <v>1</v>
      </c>
      <c r="BI15" s="19">
        <v>1</v>
      </c>
      <c r="BJ15" s="19" t="s">
        <v>1140</v>
      </c>
      <c r="BK15" s="19" t="s">
        <v>1140</v>
      </c>
    </row>
    <row r="16" spans="1:63">
      <c r="A16">
        <f ca="1">tblIndicators!A8</f>
        <v>7</v>
      </c>
      <c r="B16">
        <f ca="1">tblIndicators!B8</f>
        <v>1</v>
      </c>
      <c r="C16" t="str">
        <f ca="1">tblIndicators!C8</f>
        <v>IC00</v>
      </c>
      <c r="D16" t="str">
        <f ca="1">tblIndicators!D8</f>
        <v>OVERALL</v>
      </c>
      <c r="E16">
        <f ca="1">MATCH(C16,Weights!C$4:C$89,0)</f>
        <v>2</v>
      </c>
      <c r="F16">
        <f ca="1">INDEX(Weights!G$4:G$89,E16)</f>
        <v>2</v>
      </c>
      <c r="G16">
        <f t="shared" si="7"/>
        <v>0.2</v>
      </c>
      <c r="H16" t="str">
        <f ca="1">tblIndicators!K8</f>
        <v xml:space="preserve">     Investment Climate</v>
      </c>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row>
    <row r="17" spans="1:63">
      <c r="A17">
        <f ca="1">tblIndicators!A9</f>
        <v>8</v>
      </c>
      <c r="B17">
        <f ca="1">tblIndicators!B9</f>
        <v>2</v>
      </c>
      <c r="C17" t="str">
        <f ca="1">tblIndicators!C9</f>
        <v>IC01</v>
      </c>
      <c r="D17" t="str">
        <f ca="1">tblIndicators!D9</f>
        <v>IC00</v>
      </c>
      <c r="E17">
        <f ca="1">MATCH(C17,Weights!C$4:C$89,0)</f>
        <v>12</v>
      </c>
      <c r="F17">
        <f ca="1">INDEX(Weights!G$4:G$89,E17)</f>
        <v>1</v>
      </c>
      <c r="G17">
        <f t="shared" si="7"/>
        <v>0.16666666666666666</v>
      </c>
      <c r="H17" t="str">
        <f ca="1">tblIndicators!K9</f>
        <v xml:space="preserve">          Political stability</v>
      </c>
      <c r="I17" s="19">
        <v>2.2000000000000002</v>
      </c>
      <c r="J17" s="19" t="s">
        <v>1140</v>
      </c>
      <c r="K17" s="19" t="s">
        <v>1140</v>
      </c>
      <c r="L17" s="19" t="s">
        <v>1140</v>
      </c>
      <c r="M17" s="19">
        <v>1.4</v>
      </c>
      <c r="N17" s="19" t="s">
        <v>1140</v>
      </c>
      <c r="O17" s="19">
        <v>3</v>
      </c>
      <c r="P17" s="19" t="s">
        <v>1140</v>
      </c>
      <c r="Q17" s="19" t="s">
        <v>1140</v>
      </c>
      <c r="R17" s="19">
        <v>3.2</v>
      </c>
      <c r="S17" s="19" t="s">
        <v>1140</v>
      </c>
      <c r="T17" s="19">
        <v>2.2000000000000002</v>
      </c>
      <c r="U17" s="19">
        <v>3.6</v>
      </c>
      <c r="V17" s="19">
        <v>2</v>
      </c>
      <c r="W17" s="19" t="s">
        <v>1140</v>
      </c>
      <c r="X17" s="19">
        <v>0.8</v>
      </c>
      <c r="Y17" s="19">
        <v>2.8</v>
      </c>
      <c r="Z17" s="19" t="s">
        <v>1140</v>
      </c>
      <c r="AA17" s="19" t="s">
        <v>1140</v>
      </c>
      <c r="AB17" s="19" t="s">
        <v>1140</v>
      </c>
      <c r="AC17" s="19">
        <v>1.6</v>
      </c>
      <c r="AD17" s="19">
        <v>1.4</v>
      </c>
      <c r="AE17" s="19">
        <v>1.8</v>
      </c>
      <c r="AF17" s="19" t="s">
        <v>1140</v>
      </c>
      <c r="AG17" s="19" t="s">
        <v>1140</v>
      </c>
      <c r="AH17" s="19">
        <v>2.6</v>
      </c>
      <c r="AI17" s="19" t="s">
        <v>1140</v>
      </c>
      <c r="AJ17" s="19" t="s">
        <v>1140</v>
      </c>
      <c r="AK17" s="19" t="s">
        <v>1140</v>
      </c>
      <c r="AL17" s="19" t="s">
        <v>1140</v>
      </c>
      <c r="AM17" s="19">
        <v>2.6</v>
      </c>
      <c r="AN17" s="19" t="s">
        <v>1140</v>
      </c>
      <c r="AO17" s="19" t="s">
        <v>1140</v>
      </c>
      <c r="AP17" s="19" t="s">
        <v>1140</v>
      </c>
      <c r="AQ17" s="19" t="s">
        <v>1140</v>
      </c>
      <c r="AR17" s="19">
        <v>2</v>
      </c>
      <c r="AS17" s="19" t="s">
        <v>1140</v>
      </c>
      <c r="AT17" s="19" t="s">
        <v>1140</v>
      </c>
      <c r="AU17" s="19">
        <v>2.2000000000000002</v>
      </c>
      <c r="AV17" s="19">
        <v>1.8</v>
      </c>
      <c r="AW17" s="19">
        <v>2.2000000000000002</v>
      </c>
      <c r="AX17" s="19" t="s">
        <v>1140</v>
      </c>
      <c r="AY17" s="19" t="s">
        <v>1140</v>
      </c>
      <c r="AZ17" s="19" t="s">
        <v>1140</v>
      </c>
      <c r="BA17" s="19" t="s">
        <v>1140</v>
      </c>
      <c r="BB17" s="19" t="s">
        <v>1140</v>
      </c>
      <c r="BC17" s="19" t="s">
        <v>1140</v>
      </c>
      <c r="BD17" s="19" t="s">
        <v>1140</v>
      </c>
      <c r="BE17" s="19" t="s">
        <v>1140</v>
      </c>
      <c r="BF17" s="19" t="s">
        <v>1140</v>
      </c>
      <c r="BG17" s="19" t="s">
        <v>1140</v>
      </c>
      <c r="BH17" s="19">
        <v>2.8</v>
      </c>
      <c r="BI17" s="19">
        <v>1.4</v>
      </c>
      <c r="BJ17" s="19" t="s">
        <v>1140</v>
      </c>
      <c r="BK17" s="19" t="s">
        <v>1140</v>
      </c>
    </row>
    <row r="18" spans="1:63">
      <c r="A18">
        <f ca="1">tblIndicators!A10</f>
        <v>9</v>
      </c>
      <c r="B18">
        <f ca="1">tblIndicators!B10</f>
        <v>2</v>
      </c>
      <c r="C18" t="str">
        <f ca="1">tblIndicators!C10</f>
        <v>IC02</v>
      </c>
      <c r="D18" t="str">
        <f ca="1">tblIndicators!D10</f>
        <v>IC00</v>
      </c>
      <c r="E18">
        <f ca="1">MATCH(C18,Weights!C$4:C$89,0)</f>
        <v>13</v>
      </c>
      <c r="F18">
        <f ca="1">INDEX(Weights!G$4:G$89,E18)</f>
        <v>1</v>
      </c>
      <c r="G18">
        <f t="shared" si="7"/>
        <v>0.16666666666666666</v>
      </c>
      <c r="H18" t="str">
        <f ca="1">tblIndicators!K10</f>
        <v xml:space="preserve">          Capital market development</v>
      </c>
      <c r="I18" s="19">
        <v>2</v>
      </c>
      <c r="J18" s="19" t="s">
        <v>1140</v>
      </c>
      <c r="K18" s="19" t="s">
        <v>1140</v>
      </c>
      <c r="L18" s="19" t="s">
        <v>1140</v>
      </c>
      <c r="M18" s="19">
        <v>1.2</v>
      </c>
      <c r="N18" s="19" t="s">
        <v>1140</v>
      </c>
      <c r="O18" s="19">
        <v>2.2000000000000002</v>
      </c>
      <c r="P18" s="19" t="s">
        <v>1140</v>
      </c>
      <c r="Q18" s="19" t="s">
        <v>1140</v>
      </c>
      <c r="R18" s="19">
        <v>3.6</v>
      </c>
      <c r="S18" s="19" t="s">
        <v>1140</v>
      </c>
      <c r="T18" s="19">
        <v>1.8</v>
      </c>
      <c r="U18" s="19">
        <v>2.4</v>
      </c>
      <c r="V18" s="19">
        <v>0.6</v>
      </c>
      <c r="W18" s="19" t="s">
        <v>1140</v>
      </c>
      <c r="X18" s="19">
        <v>0.8</v>
      </c>
      <c r="Y18" s="19">
        <v>2</v>
      </c>
      <c r="Z18" s="19" t="s">
        <v>1140</v>
      </c>
      <c r="AA18" s="19" t="s">
        <v>1140</v>
      </c>
      <c r="AB18" s="19" t="s">
        <v>1140</v>
      </c>
      <c r="AC18" s="19">
        <v>1.2</v>
      </c>
      <c r="AD18" s="19">
        <v>0.8</v>
      </c>
      <c r="AE18" s="19">
        <v>1.4</v>
      </c>
      <c r="AF18" s="19" t="s">
        <v>1140</v>
      </c>
      <c r="AG18" s="19" t="s">
        <v>1140</v>
      </c>
      <c r="AH18" s="19">
        <v>1.8</v>
      </c>
      <c r="AI18" s="19" t="s">
        <v>1140</v>
      </c>
      <c r="AJ18" s="19" t="s">
        <v>1140</v>
      </c>
      <c r="AK18" s="19" t="s">
        <v>1140</v>
      </c>
      <c r="AL18" s="19" t="s">
        <v>1140</v>
      </c>
      <c r="AM18" s="19">
        <v>2.4</v>
      </c>
      <c r="AN18" s="19" t="s">
        <v>1140</v>
      </c>
      <c r="AO18" s="19" t="s">
        <v>1140</v>
      </c>
      <c r="AP18" s="19" t="s">
        <v>1140</v>
      </c>
      <c r="AQ18" s="19" t="s">
        <v>1140</v>
      </c>
      <c r="AR18" s="19">
        <v>1.6</v>
      </c>
      <c r="AS18" s="19" t="s">
        <v>1140</v>
      </c>
      <c r="AT18" s="19" t="s">
        <v>1140</v>
      </c>
      <c r="AU18" s="19">
        <v>2.8</v>
      </c>
      <c r="AV18" s="19">
        <v>1.4</v>
      </c>
      <c r="AW18" s="19">
        <v>2.4</v>
      </c>
      <c r="AX18" s="19" t="s">
        <v>1140</v>
      </c>
      <c r="AY18" s="19" t="s">
        <v>1140</v>
      </c>
      <c r="AZ18" s="19" t="s">
        <v>1140</v>
      </c>
      <c r="BA18" s="19" t="s">
        <v>1140</v>
      </c>
      <c r="BB18" s="19" t="s">
        <v>1140</v>
      </c>
      <c r="BC18" s="19" t="s">
        <v>1140</v>
      </c>
      <c r="BD18" s="19" t="s">
        <v>1140</v>
      </c>
      <c r="BE18" s="19" t="s">
        <v>1140</v>
      </c>
      <c r="BF18" s="19" t="s">
        <v>1140</v>
      </c>
      <c r="BG18" s="19" t="s">
        <v>1140</v>
      </c>
      <c r="BH18" s="19">
        <v>1.2</v>
      </c>
      <c r="BI18" s="19">
        <v>1.2</v>
      </c>
      <c r="BJ18" s="19" t="s">
        <v>1140</v>
      </c>
      <c r="BK18" s="19" t="s">
        <v>1140</v>
      </c>
    </row>
    <row r="19" spans="1:63">
      <c r="A19">
        <f ca="1">tblIndicators!A11</f>
        <v>10</v>
      </c>
      <c r="B19">
        <f ca="1">tblIndicators!B11</f>
        <v>2</v>
      </c>
      <c r="C19" t="str">
        <f ca="1">tblIndicators!C11</f>
        <v>IC03</v>
      </c>
      <c r="D19" t="str">
        <f ca="1">tblIndicators!D11</f>
        <v>IC00</v>
      </c>
      <c r="E19">
        <f ca="1">MATCH(C19,Weights!C$4:C$89,0)</f>
        <v>14</v>
      </c>
      <c r="F19">
        <f ca="1">INDEX(Weights!G$4:G$89,E19)</f>
        <v>1</v>
      </c>
      <c r="G19">
        <f t="shared" si="7"/>
        <v>0.16666666666666666</v>
      </c>
      <c r="H19" t="str">
        <f ca="1">tblIndicators!K11</f>
        <v xml:space="preserve">          Judicial system</v>
      </c>
      <c r="I19" s="19">
        <v>1</v>
      </c>
      <c r="J19" s="19" t="s">
        <v>1140</v>
      </c>
      <c r="K19" s="19" t="s">
        <v>1140</v>
      </c>
      <c r="L19" s="19" t="s">
        <v>1140</v>
      </c>
      <c r="M19" s="19">
        <v>0.66666666666666652</v>
      </c>
      <c r="N19" s="19" t="s">
        <v>1140</v>
      </c>
      <c r="O19" s="19">
        <v>1.6666666666666665</v>
      </c>
      <c r="P19" s="19" t="s">
        <v>1140</v>
      </c>
      <c r="Q19" s="19" t="s">
        <v>1140</v>
      </c>
      <c r="R19" s="19">
        <v>3</v>
      </c>
      <c r="S19" s="19" t="s">
        <v>1140</v>
      </c>
      <c r="T19" s="19">
        <v>1.3333333333333335</v>
      </c>
      <c r="U19" s="19">
        <v>2.33</v>
      </c>
      <c r="V19" s="19">
        <v>1</v>
      </c>
      <c r="W19" s="19" t="s">
        <v>1140</v>
      </c>
      <c r="X19" s="19">
        <v>0</v>
      </c>
      <c r="Y19" s="19">
        <v>1</v>
      </c>
      <c r="Z19" s="19" t="s">
        <v>1140</v>
      </c>
      <c r="AA19" s="19" t="s">
        <v>1140</v>
      </c>
      <c r="AB19" s="19" t="s">
        <v>1140</v>
      </c>
      <c r="AC19" s="19">
        <v>1</v>
      </c>
      <c r="AD19" s="19">
        <v>1</v>
      </c>
      <c r="AE19" s="19">
        <v>0.33</v>
      </c>
      <c r="AF19" s="19" t="s">
        <v>1140</v>
      </c>
      <c r="AG19" s="19" t="s">
        <v>1140</v>
      </c>
      <c r="AH19" s="19">
        <v>2</v>
      </c>
      <c r="AI19" s="19" t="s">
        <v>1140</v>
      </c>
      <c r="AJ19" s="19" t="s">
        <v>1140</v>
      </c>
      <c r="AK19" s="19" t="s">
        <v>1140</v>
      </c>
      <c r="AL19" s="19" t="s">
        <v>1140</v>
      </c>
      <c r="AM19" s="19">
        <v>2</v>
      </c>
      <c r="AN19" s="19" t="s">
        <v>1140</v>
      </c>
      <c r="AO19" s="19" t="s">
        <v>1140</v>
      </c>
      <c r="AP19" s="19" t="s">
        <v>1140</v>
      </c>
      <c r="AQ19" s="19" t="s">
        <v>1140</v>
      </c>
      <c r="AR19" s="19">
        <v>0</v>
      </c>
      <c r="AS19" s="19" t="s">
        <v>1140</v>
      </c>
      <c r="AT19" s="19" t="s">
        <v>1140</v>
      </c>
      <c r="AU19" s="19">
        <v>2</v>
      </c>
      <c r="AV19" s="19">
        <v>1.33</v>
      </c>
      <c r="AW19" s="19">
        <v>0.33</v>
      </c>
      <c r="AX19" s="19" t="s">
        <v>1140</v>
      </c>
      <c r="AY19" s="19" t="s">
        <v>1140</v>
      </c>
      <c r="AZ19" s="19" t="s">
        <v>1140</v>
      </c>
      <c r="BA19" s="19" t="s">
        <v>1140</v>
      </c>
      <c r="BB19" s="19" t="s">
        <v>1140</v>
      </c>
      <c r="BC19" s="19" t="s">
        <v>1140</v>
      </c>
      <c r="BD19" s="19" t="s">
        <v>1140</v>
      </c>
      <c r="BE19" s="19" t="s">
        <v>1140</v>
      </c>
      <c r="BF19" s="19" t="s">
        <v>1140</v>
      </c>
      <c r="BG19" s="19" t="s">
        <v>1140</v>
      </c>
      <c r="BH19" s="19">
        <v>2</v>
      </c>
      <c r="BI19" s="19">
        <v>0.33</v>
      </c>
      <c r="BJ19" s="19" t="s">
        <v>1140</v>
      </c>
      <c r="BK19" s="19" t="s">
        <v>1140</v>
      </c>
    </row>
    <row r="20" spans="1:63">
      <c r="A20">
        <f ca="1">tblIndicators!A12</f>
        <v>11</v>
      </c>
      <c r="B20">
        <f ca="1">tblIndicators!B12</f>
        <v>2</v>
      </c>
      <c r="C20" t="str">
        <f ca="1">tblIndicators!C12</f>
        <v>IC04</v>
      </c>
      <c r="D20" t="str">
        <f ca="1">tblIndicators!D12</f>
        <v>IC00</v>
      </c>
      <c r="E20">
        <f ca="1">MATCH(C20,Weights!C$4:C$89,0)</f>
        <v>15</v>
      </c>
      <c r="F20">
        <f ca="1">INDEX(Weights!G$4:G$89,E20)</f>
        <v>1</v>
      </c>
      <c r="G20">
        <f t="shared" si="7"/>
        <v>0.16666666666666666</v>
      </c>
      <c r="H20" t="str">
        <f ca="1">tblIndicators!K12</f>
        <v xml:space="preserve">          Accounting standards</v>
      </c>
      <c r="I20" s="19">
        <v>2</v>
      </c>
      <c r="J20" s="19" t="s">
        <v>1140</v>
      </c>
      <c r="K20" s="19" t="s">
        <v>1140</v>
      </c>
      <c r="L20" s="19" t="s">
        <v>1140</v>
      </c>
      <c r="M20" s="19">
        <v>2</v>
      </c>
      <c r="N20" s="19" t="s">
        <v>1140</v>
      </c>
      <c r="O20" s="19">
        <v>2</v>
      </c>
      <c r="P20" s="19" t="s">
        <v>1140</v>
      </c>
      <c r="Q20" s="19" t="s">
        <v>1140</v>
      </c>
      <c r="R20" s="19">
        <v>3</v>
      </c>
      <c r="S20" s="19" t="s">
        <v>1140</v>
      </c>
      <c r="T20" s="19">
        <v>2</v>
      </c>
      <c r="U20" s="19">
        <v>2</v>
      </c>
      <c r="V20" s="19">
        <v>3</v>
      </c>
      <c r="W20" s="19" t="s">
        <v>1140</v>
      </c>
      <c r="X20" s="19">
        <v>3</v>
      </c>
      <c r="Y20" s="19">
        <v>3</v>
      </c>
      <c r="Z20" s="19" t="s">
        <v>1140</v>
      </c>
      <c r="AA20" s="19" t="s">
        <v>1140</v>
      </c>
      <c r="AB20" s="19" t="s">
        <v>1140</v>
      </c>
      <c r="AC20" s="19">
        <v>3</v>
      </c>
      <c r="AD20" s="19">
        <v>1</v>
      </c>
      <c r="AE20" s="19">
        <v>2</v>
      </c>
      <c r="AF20" s="19" t="s">
        <v>1140</v>
      </c>
      <c r="AG20" s="19" t="s">
        <v>1140</v>
      </c>
      <c r="AH20" s="19">
        <v>3</v>
      </c>
      <c r="AI20" s="19" t="s">
        <v>1140</v>
      </c>
      <c r="AJ20" s="19" t="s">
        <v>1140</v>
      </c>
      <c r="AK20" s="19" t="s">
        <v>1140</v>
      </c>
      <c r="AL20" s="19" t="s">
        <v>1140</v>
      </c>
      <c r="AM20" s="19">
        <v>3</v>
      </c>
      <c r="AN20" s="19" t="s">
        <v>1140</v>
      </c>
      <c r="AO20" s="19" t="s">
        <v>1140</v>
      </c>
      <c r="AP20" s="19" t="s">
        <v>1140</v>
      </c>
      <c r="AQ20" s="19" t="s">
        <v>1140</v>
      </c>
      <c r="AR20" s="19">
        <v>3</v>
      </c>
      <c r="AS20" s="19" t="s">
        <v>1140</v>
      </c>
      <c r="AT20" s="19" t="s">
        <v>1140</v>
      </c>
      <c r="AU20" s="19">
        <v>3</v>
      </c>
      <c r="AV20" s="19">
        <v>1</v>
      </c>
      <c r="AW20" s="19">
        <v>3</v>
      </c>
      <c r="AX20" s="19" t="s">
        <v>1140</v>
      </c>
      <c r="AY20" s="19" t="s">
        <v>1140</v>
      </c>
      <c r="AZ20" s="19" t="s">
        <v>1140</v>
      </c>
      <c r="BA20" s="19" t="s">
        <v>1140</v>
      </c>
      <c r="BB20" s="19" t="s">
        <v>1140</v>
      </c>
      <c r="BC20" s="19" t="s">
        <v>1140</v>
      </c>
      <c r="BD20" s="19" t="s">
        <v>1140</v>
      </c>
      <c r="BE20" s="19" t="s">
        <v>1140</v>
      </c>
      <c r="BF20" s="19" t="s">
        <v>1140</v>
      </c>
      <c r="BG20" s="19" t="s">
        <v>1140</v>
      </c>
      <c r="BH20" s="19">
        <v>2</v>
      </c>
      <c r="BI20" s="19">
        <v>3</v>
      </c>
      <c r="BJ20" s="19" t="s">
        <v>1140</v>
      </c>
      <c r="BK20" s="19" t="s">
        <v>1140</v>
      </c>
    </row>
    <row r="21" spans="1:63">
      <c r="A21">
        <f ca="1">tblIndicators!A13</f>
        <v>12</v>
      </c>
      <c r="B21">
        <f ca="1">tblIndicators!B13</f>
        <v>2</v>
      </c>
      <c r="C21" t="str">
        <f ca="1">tblIndicators!C13</f>
        <v>IC05</v>
      </c>
      <c r="D21" t="str">
        <f ca="1">tblIndicators!D13</f>
        <v>IC00</v>
      </c>
      <c r="E21">
        <f ca="1">MATCH(C21,Weights!C$4:C$89,0)</f>
        <v>16</v>
      </c>
      <c r="F21">
        <f ca="1">INDEX(Weights!G$4:G$89,E21)</f>
        <v>1</v>
      </c>
      <c r="G21">
        <f t="shared" si="7"/>
        <v>0.16666666666666666</v>
      </c>
      <c r="H21" t="str">
        <f ca="1">tblIndicators!K13</f>
        <v xml:space="preserve">          Governance standards</v>
      </c>
      <c r="I21" s="19">
        <v>1</v>
      </c>
      <c r="J21" s="19" t="s">
        <v>1140</v>
      </c>
      <c r="K21" s="19" t="s">
        <v>1140</v>
      </c>
      <c r="L21" s="19" t="s">
        <v>1140</v>
      </c>
      <c r="M21" s="19">
        <v>3</v>
      </c>
      <c r="N21" s="19" t="s">
        <v>1140</v>
      </c>
      <c r="O21" s="19">
        <v>2</v>
      </c>
      <c r="P21" s="19" t="s">
        <v>1140</v>
      </c>
      <c r="Q21" s="19" t="s">
        <v>1140</v>
      </c>
      <c r="R21" s="19">
        <v>3</v>
      </c>
      <c r="S21" s="19" t="s">
        <v>1140</v>
      </c>
      <c r="T21" s="19">
        <v>3</v>
      </c>
      <c r="U21" s="19">
        <v>2</v>
      </c>
      <c r="V21" s="19">
        <v>1</v>
      </c>
      <c r="W21" s="19" t="s">
        <v>1140</v>
      </c>
      <c r="X21" s="19">
        <v>1</v>
      </c>
      <c r="Y21" s="19">
        <v>1</v>
      </c>
      <c r="Z21" s="19" t="s">
        <v>1140</v>
      </c>
      <c r="AA21" s="19" t="s">
        <v>1140</v>
      </c>
      <c r="AB21" s="19" t="s">
        <v>1140</v>
      </c>
      <c r="AC21" s="19">
        <v>1</v>
      </c>
      <c r="AD21" s="19">
        <v>1</v>
      </c>
      <c r="AE21" s="19">
        <v>1</v>
      </c>
      <c r="AF21" s="19" t="s">
        <v>1140</v>
      </c>
      <c r="AG21" s="19" t="s">
        <v>1140</v>
      </c>
      <c r="AH21" s="19">
        <v>2</v>
      </c>
      <c r="AI21" s="19" t="s">
        <v>1140</v>
      </c>
      <c r="AJ21" s="19" t="s">
        <v>1140</v>
      </c>
      <c r="AK21" s="19" t="s">
        <v>1140</v>
      </c>
      <c r="AL21" s="19" t="s">
        <v>1140</v>
      </c>
      <c r="AM21" s="19">
        <v>2</v>
      </c>
      <c r="AN21" s="19" t="s">
        <v>1140</v>
      </c>
      <c r="AO21" s="19" t="s">
        <v>1140</v>
      </c>
      <c r="AP21" s="19" t="s">
        <v>1140</v>
      </c>
      <c r="AQ21" s="19" t="s">
        <v>1140</v>
      </c>
      <c r="AR21" s="19">
        <v>2</v>
      </c>
      <c r="AS21" s="19" t="s">
        <v>1140</v>
      </c>
      <c r="AT21" s="19" t="s">
        <v>1140</v>
      </c>
      <c r="AU21" s="19">
        <v>2</v>
      </c>
      <c r="AV21" s="19">
        <v>2</v>
      </c>
      <c r="AW21" s="19">
        <v>3</v>
      </c>
      <c r="AX21" s="19" t="s">
        <v>1140</v>
      </c>
      <c r="AY21" s="19" t="s">
        <v>1140</v>
      </c>
      <c r="AZ21" s="19" t="s">
        <v>1140</v>
      </c>
      <c r="BA21" s="19" t="s">
        <v>1140</v>
      </c>
      <c r="BB21" s="19" t="s">
        <v>1140</v>
      </c>
      <c r="BC21" s="19" t="s">
        <v>1140</v>
      </c>
      <c r="BD21" s="19" t="s">
        <v>1140</v>
      </c>
      <c r="BE21" s="19" t="s">
        <v>1140</v>
      </c>
      <c r="BF21" s="19" t="s">
        <v>1140</v>
      </c>
      <c r="BG21" s="19" t="s">
        <v>1140</v>
      </c>
      <c r="BH21" s="19">
        <v>2</v>
      </c>
      <c r="BI21" s="19">
        <v>1</v>
      </c>
      <c r="BJ21" s="19" t="s">
        <v>1140</v>
      </c>
      <c r="BK21" s="19" t="s">
        <v>1140</v>
      </c>
    </row>
    <row r="22" spans="1:63">
      <c r="A22">
        <f ca="1">tblIndicators!A14</f>
        <v>13</v>
      </c>
      <c r="B22">
        <f ca="1">tblIndicators!B14</f>
        <v>2</v>
      </c>
      <c r="C22" t="str">
        <f ca="1">tblIndicators!C14</f>
        <v>IC06</v>
      </c>
      <c r="D22" t="str">
        <f ca="1">tblIndicators!D14</f>
        <v>IC00</v>
      </c>
      <c r="E22">
        <f ca="1">MATCH(C22,Weights!C$4:C$89,0)</f>
        <v>17</v>
      </c>
      <c r="F22">
        <f ca="1">INDEX(Weights!G$4:G$89,E22)</f>
        <v>1</v>
      </c>
      <c r="G22">
        <f t="shared" si="7"/>
        <v>0.16666666666666666</v>
      </c>
      <c r="H22" t="str">
        <f ca="1">tblIndicators!K14</f>
        <v xml:space="preserve">          MFI transparency</v>
      </c>
      <c r="I22" s="19">
        <v>1</v>
      </c>
      <c r="J22" s="19" t="s">
        <v>1140</v>
      </c>
      <c r="K22" s="19" t="s">
        <v>1140</v>
      </c>
      <c r="L22" s="19" t="s">
        <v>1140</v>
      </c>
      <c r="M22" s="19">
        <v>3</v>
      </c>
      <c r="N22" s="19" t="s">
        <v>1140</v>
      </c>
      <c r="O22" s="19">
        <v>2</v>
      </c>
      <c r="P22" s="19" t="s">
        <v>1140</v>
      </c>
      <c r="Q22" s="19" t="s">
        <v>1140</v>
      </c>
      <c r="R22" s="19">
        <v>2</v>
      </c>
      <c r="S22" s="19" t="s">
        <v>1140</v>
      </c>
      <c r="T22" s="19">
        <v>2</v>
      </c>
      <c r="U22" s="19">
        <v>2</v>
      </c>
      <c r="V22" s="19">
        <v>2</v>
      </c>
      <c r="W22" s="19" t="s">
        <v>1140</v>
      </c>
      <c r="X22" s="19">
        <v>2</v>
      </c>
      <c r="Y22" s="19">
        <v>2</v>
      </c>
      <c r="Z22" s="19" t="s">
        <v>1140</v>
      </c>
      <c r="AA22" s="19" t="s">
        <v>1140</v>
      </c>
      <c r="AB22" s="19" t="s">
        <v>1140</v>
      </c>
      <c r="AC22" s="19">
        <v>2</v>
      </c>
      <c r="AD22" s="19">
        <v>2</v>
      </c>
      <c r="AE22" s="19">
        <v>2</v>
      </c>
      <c r="AF22" s="19" t="s">
        <v>1140</v>
      </c>
      <c r="AG22" s="19" t="s">
        <v>1140</v>
      </c>
      <c r="AH22" s="19">
        <v>2</v>
      </c>
      <c r="AI22" s="19" t="s">
        <v>1140</v>
      </c>
      <c r="AJ22" s="19" t="s">
        <v>1140</v>
      </c>
      <c r="AK22" s="19" t="s">
        <v>1140</v>
      </c>
      <c r="AL22" s="19" t="s">
        <v>1140</v>
      </c>
      <c r="AM22" s="19">
        <v>2</v>
      </c>
      <c r="AN22" s="19" t="s">
        <v>1140</v>
      </c>
      <c r="AO22" s="19" t="s">
        <v>1140</v>
      </c>
      <c r="AP22" s="19" t="s">
        <v>1140</v>
      </c>
      <c r="AQ22" s="19" t="s">
        <v>1140</v>
      </c>
      <c r="AR22" s="19">
        <v>2</v>
      </c>
      <c r="AS22" s="19" t="s">
        <v>1140</v>
      </c>
      <c r="AT22" s="19" t="s">
        <v>1140</v>
      </c>
      <c r="AU22" s="19">
        <v>2</v>
      </c>
      <c r="AV22" s="19">
        <v>2</v>
      </c>
      <c r="AW22" s="19">
        <v>3</v>
      </c>
      <c r="AX22" s="19" t="s">
        <v>1140</v>
      </c>
      <c r="AY22" s="19" t="s">
        <v>1140</v>
      </c>
      <c r="AZ22" s="19" t="s">
        <v>1140</v>
      </c>
      <c r="BA22" s="19" t="s">
        <v>1140</v>
      </c>
      <c r="BB22" s="19" t="s">
        <v>1140</v>
      </c>
      <c r="BC22" s="19" t="s">
        <v>1140</v>
      </c>
      <c r="BD22" s="19" t="s">
        <v>1140</v>
      </c>
      <c r="BE22" s="19" t="s">
        <v>1140</v>
      </c>
      <c r="BF22" s="19" t="s">
        <v>1140</v>
      </c>
      <c r="BG22" s="19" t="s">
        <v>1140</v>
      </c>
      <c r="BH22" s="19">
        <v>1</v>
      </c>
      <c r="BI22" s="19">
        <v>3</v>
      </c>
      <c r="BJ22" s="19" t="s">
        <v>1140</v>
      </c>
      <c r="BK22" s="19" t="s">
        <v>1140</v>
      </c>
    </row>
    <row r="23" spans="1:63">
      <c r="A23">
        <f ca="1">tblIndicators!A15</f>
        <v>14</v>
      </c>
      <c r="B23">
        <f ca="1">tblIndicators!B15</f>
        <v>1</v>
      </c>
      <c r="C23" t="str">
        <f ca="1">tblIndicators!C15</f>
        <v>ID00</v>
      </c>
      <c r="D23" t="str">
        <f ca="1">tblIndicators!D15</f>
        <v>OVERALL</v>
      </c>
      <c r="E23">
        <f ca="1">MATCH(C23,Weights!C$4:C$89,0)</f>
        <v>3</v>
      </c>
      <c r="F23">
        <f ca="1">INDEX(Weights!G$4:G$89,E23)</f>
        <v>4</v>
      </c>
      <c r="G23">
        <f t="shared" si="7"/>
        <v>0.4</v>
      </c>
      <c r="H23" t="str">
        <f ca="1">tblIndicators!K15</f>
        <v xml:space="preserve">     Institutional Development</v>
      </c>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row>
    <row r="24" spans="1:63">
      <c r="A24">
        <f ca="1">tblIndicators!A16</f>
        <v>15</v>
      </c>
      <c r="B24">
        <f ca="1">tblIndicators!B16</f>
        <v>2</v>
      </c>
      <c r="C24" t="str">
        <f ca="1">tblIndicators!C16</f>
        <v>ID01</v>
      </c>
      <c r="D24" t="str">
        <f ca="1">tblIndicators!D16</f>
        <v>ID00</v>
      </c>
      <c r="E24">
        <f ca="1">MATCH(C24,Weights!C$4:C$89,0)</f>
        <v>19</v>
      </c>
      <c r="F24">
        <f ca="1">INDEX(Weights!G$4:G$89,E24)</f>
        <v>1</v>
      </c>
      <c r="G24">
        <f t="shared" si="7"/>
        <v>0.33333333333333331</v>
      </c>
      <c r="H24" t="str">
        <f ca="1">tblIndicators!K16</f>
        <v xml:space="preserve">          Range of MFI Services</v>
      </c>
      <c r="I24" s="19">
        <v>1</v>
      </c>
      <c r="J24" s="19" t="s">
        <v>1140</v>
      </c>
      <c r="K24" s="19" t="s">
        <v>1140</v>
      </c>
      <c r="L24" s="19" t="s">
        <v>1140</v>
      </c>
      <c r="M24" s="19">
        <v>4</v>
      </c>
      <c r="N24" s="19" t="s">
        <v>1140</v>
      </c>
      <c r="O24" s="19">
        <v>2</v>
      </c>
      <c r="P24" s="19" t="s">
        <v>1140</v>
      </c>
      <c r="Q24" s="19" t="s">
        <v>1140</v>
      </c>
      <c r="R24" s="19">
        <v>2</v>
      </c>
      <c r="S24" s="19" t="s">
        <v>1140</v>
      </c>
      <c r="T24" s="19">
        <v>2</v>
      </c>
      <c r="U24" s="19">
        <v>2</v>
      </c>
      <c r="V24" s="19">
        <v>2</v>
      </c>
      <c r="W24" s="19" t="s">
        <v>1140</v>
      </c>
      <c r="X24" s="19">
        <v>3</v>
      </c>
      <c r="Y24" s="19">
        <v>2</v>
      </c>
      <c r="Z24" s="19" t="s">
        <v>1140</v>
      </c>
      <c r="AA24" s="19" t="s">
        <v>1140</v>
      </c>
      <c r="AB24" s="19" t="s">
        <v>1140</v>
      </c>
      <c r="AC24" s="19">
        <v>2</v>
      </c>
      <c r="AD24" s="19">
        <v>1</v>
      </c>
      <c r="AE24" s="19">
        <v>2</v>
      </c>
      <c r="AF24" s="19" t="s">
        <v>1140</v>
      </c>
      <c r="AG24" s="19" t="s">
        <v>1140</v>
      </c>
      <c r="AH24" s="19">
        <v>0</v>
      </c>
      <c r="AI24" s="19" t="s">
        <v>1140</v>
      </c>
      <c r="AJ24" s="19" t="s">
        <v>1140</v>
      </c>
      <c r="AK24" s="19" t="s">
        <v>1140</v>
      </c>
      <c r="AL24" s="19" t="s">
        <v>1140</v>
      </c>
      <c r="AM24" s="19">
        <v>2</v>
      </c>
      <c r="AN24" s="19" t="s">
        <v>1140</v>
      </c>
      <c r="AO24" s="19" t="s">
        <v>1140</v>
      </c>
      <c r="AP24" s="19" t="s">
        <v>1140</v>
      </c>
      <c r="AQ24" s="19" t="s">
        <v>1140</v>
      </c>
      <c r="AR24" s="19">
        <v>3</v>
      </c>
      <c r="AS24" s="19" t="s">
        <v>1140</v>
      </c>
      <c r="AT24" s="19" t="s">
        <v>1140</v>
      </c>
      <c r="AU24" s="19">
        <v>2</v>
      </c>
      <c r="AV24" s="19">
        <v>2</v>
      </c>
      <c r="AW24" s="19">
        <v>3</v>
      </c>
      <c r="AX24" s="19" t="s">
        <v>1140</v>
      </c>
      <c r="AY24" s="19" t="s">
        <v>1140</v>
      </c>
      <c r="AZ24" s="19" t="s">
        <v>1140</v>
      </c>
      <c r="BA24" s="19" t="s">
        <v>1140</v>
      </c>
      <c r="BB24" s="19" t="s">
        <v>1140</v>
      </c>
      <c r="BC24" s="19" t="s">
        <v>1140</v>
      </c>
      <c r="BD24" s="19" t="s">
        <v>1140</v>
      </c>
      <c r="BE24" s="19" t="s">
        <v>1140</v>
      </c>
      <c r="BF24" s="19" t="s">
        <v>1140</v>
      </c>
      <c r="BG24" s="19" t="s">
        <v>1140</v>
      </c>
      <c r="BH24" s="19">
        <v>1</v>
      </c>
      <c r="BI24" s="19">
        <v>2</v>
      </c>
      <c r="BJ24" s="19" t="s">
        <v>1140</v>
      </c>
      <c r="BK24" s="19" t="s">
        <v>1140</v>
      </c>
    </row>
    <row r="25" spans="1:63">
      <c r="A25">
        <f ca="1">tblIndicators!A17</f>
        <v>16</v>
      </c>
      <c r="B25">
        <f ca="1">tblIndicators!B17</f>
        <v>2</v>
      </c>
      <c r="C25" t="str">
        <f ca="1">tblIndicators!C17</f>
        <v>ID02</v>
      </c>
      <c r="D25" t="str">
        <f ca="1">tblIndicators!D17</f>
        <v>ID00</v>
      </c>
      <c r="E25">
        <f ca="1">MATCH(C25,Weights!C$4:C$89,0)</f>
        <v>20</v>
      </c>
      <c r="F25">
        <f ca="1">INDEX(Weights!G$4:G$89,E25)</f>
        <v>1</v>
      </c>
      <c r="G25">
        <f t="shared" si="7"/>
        <v>0.33333333333333331</v>
      </c>
      <c r="H25" t="str">
        <f ca="1">tblIndicators!K17</f>
        <v xml:space="preserve">          Credit bureaus</v>
      </c>
      <c r="I25" s="19">
        <v>2</v>
      </c>
      <c r="J25" s="19" t="s">
        <v>1140</v>
      </c>
      <c r="K25" s="19" t="s">
        <v>1140</v>
      </c>
      <c r="L25" s="19" t="s">
        <v>1140</v>
      </c>
      <c r="M25" s="19">
        <v>3</v>
      </c>
      <c r="N25" s="19" t="s">
        <v>1140</v>
      </c>
      <c r="O25" s="19">
        <v>2</v>
      </c>
      <c r="P25" s="19" t="s">
        <v>1140</v>
      </c>
      <c r="Q25" s="19" t="s">
        <v>1140</v>
      </c>
      <c r="R25" s="19">
        <v>2</v>
      </c>
      <c r="S25" s="19" t="s">
        <v>1140</v>
      </c>
      <c r="T25" s="19">
        <v>3</v>
      </c>
      <c r="U25" s="19">
        <v>2</v>
      </c>
      <c r="V25" s="19">
        <v>3</v>
      </c>
      <c r="W25" s="19" t="s">
        <v>1140</v>
      </c>
      <c r="X25" s="19">
        <v>4</v>
      </c>
      <c r="Y25" s="19">
        <v>4</v>
      </c>
      <c r="Z25" s="19" t="s">
        <v>1140</v>
      </c>
      <c r="AA25" s="19" t="s">
        <v>1140</v>
      </c>
      <c r="AB25" s="19" t="s">
        <v>1140</v>
      </c>
      <c r="AC25" s="19">
        <v>2</v>
      </c>
      <c r="AD25" s="19">
        <v>1</v>
      </c>
      <c r="AE25" s="19">
        <v>2</v>
      </c>
      <c r="AF25" s="19" t="s">
        <v>1140</v>
      </c>
      <c r="AG25" s="19" t="s">
        <v>1140</v>
      </c>
      <c r="AH25" s="19">
        <v>0</v>
      </c>
      <c r="AI25" s="19" t="s">
        <v>1140</v>
      </c>
      <c r="AJ25" s="19" t="s">
        <v>1140</v>
      </c>
      <c r="AK25" s="19" t="s">
        <v>1140</v>
      </c>
      <c r="AL25" s="19" t="s">
        <v>1140</v>
      </c>
      <c r="AM25" s="19">
        <v>2</v>
      </c>
      <c r="AN25" s="19" t="s">
        <v>1140</v>
      </c>
      <c r="AO25" s="19" t="s">
        <v>1140</v>
      </c>
      <c r="AP25" s="19" t="s">
        <v>1140</v>
      </c>
      <c r="AQ25" s="19" t="s">
        <v>1140</v>
      </c>
      <c r="AR25" s="19">
        <v>2</v>
      </c>
      <c r="AS25" s="19" t="s">
        <v>1140</v>
      </c>
      <c r="AT25" s="19" t="s">
        <v>1140</v>
      </c>
      <c r="AU25" s="19">
        <v>2</v>
      </c>
      <c r="AV25" s="19">
        <v>2</v>
      </c>
      <c r="AW25" s="19">
        <v>3</v>
      </c>
      <c r="AX25" s="19" t="s">
        <v>1140</v>
      </c>
      <c r="AY25" s="19" t="s">
        <v>1140</v>
      </c>
      <c r="AZ25" s="19" t="s">
        <v>1140</v>
      </c>
      <c r="BA25" s="19" t="s">
        <v>1140</v>
      </c>
      <c r="BB25" s="19" t="s">
        <v>1140</v>
      </c>
      <c r="BC25" s="19" t="s">
        <v>1140</v>
      </c>
      <c r="BD25" s="19" t="s">
        <v>1140</v>
      </c>
      <c r="BE25" s="19" t="s">
        <v>1140</v>
      </c>
      <c r="BF25" s="19" t="s">
        <v>1140</v>
      </c>
      <c r="BG25" s="19" t="s">
        <v>1140</v>
      </c>
      <c r="BH25" s="19">
        <v>1</v>
      </c>
      <c r="BI25" s="19">
        <v>0</v>
      </c>
      <c r="BJ25" s="19" t="s">
        <v>1140</v>
      </c>
      <c r="BK25" s="19" t="s">
        <v>1140</v>
      </c>
    </row>
    <row r="26" spans="1:63">
      <c r="A26">
        <f ca="1">tblIndicators!A18</f>
        <v>17</v>
      </c>
      <c r="B26">
        <f ca="1">tblIndicators!B18</f>
        <v>2</v>
      </c>
      <c r="C26" t="str">
        <f ca="1">tblIndicators!C18</f>
        <v>ID03</v>
      </c>
      <c r="D26" t="str">
        <f ca="1">tblIndicators!D18</f>
        <v>ID00</v>
      </c>
      <c r="E26">
        <f ca="1">MATCH(C26,Weights!C$4:C$89,0)</f>
        <v>21</v>
      </c>
      <c r="F26">
        <f ca="1">INDEX(Weights!G$4:G$89,E26)</f>
        <v>1</v>
      </c>
      <c r="G26">
        <f t="shared" si="7"/>
        <v>0.33333333333333331</v>
      </c>
      <c r="H26" t="str">
        <f ca="1">tblIndicators!K18</f>
        <v xml:space="preserve">          Level of competition</v>
      </c>
      <c r="I26" s="19">
        <v>1</v>
      </c>
      <c r="J26" s="19" t="s">
        <v>1140</v>
      </c>
      <c r="K26" s="19" t="s">
        <v>1140</v>
      </c>
      <c r="L26" s="19" t="s">
        <v>1140</v>
      </c>
      <c r="M26" s="19">
        <v>2</v>
      </c>
      <c r="N26" s="19" t="s">
        <v>1140</v>
      </c>
      <c r="O26" s="19">
        <v>0</v>
      </c>
      <c r="P26" s="19" t="s">
        <v>1140</v>
      </c>
      <c r="Q26" s="19" t="s">
        <v>1140</v>
      </c>
      <c r="R26" s="19">
        <v>0</v>
      </c>
      <c r="S26" s="19" t="s">
        <v>1140</v>
      </c>
      <c r="T26" s="19">
        <v>2</v>
      </c>
      <c r="U26" s="19">
        <v>0</v>
      </c>
      <c r="V26" s="19">
        <v>1</v>
      </c>
      <c r="W26" s="19" t="s">
        <v>1140</v>
      </c>
      <c r="X26" s="19">
        <v>3</v>
      </c>
      <c r="Y26" s="19">
        <v>2</v>
      </c>
      <c r="Z26" s="19" t="s">
        <v>1140</v>
      </c>
      <c r="AA26" s="19" t="s">
        <v>1140</v>
      </c>
      <c r="AB26" s="19" t="s">
        <v>1140</v>
      </c>
      <c r="AC26" s="19">
        <v>3</v>
      </c>
      <c r="AD26" s="19">
        <v>0</v>
      </c>
      <c r="AE26" s="19">
        <v>2</v>
      </c>
      <c r="AF26" s="19" t="s">
        <v>1140</v>
      </c>
      <c r="AG26" s="19" t="s">
        <v>1140</v>
      </c>
      <c r="AH26" s="19">
        <v>0</v>
      </c>
      <c r="AI26" s="19" t="s">
        <v>1140</v>
      </c>
      <c r="AJ26" s="19" t="s">
        <v>1140</v>
      </c>
      <c r="AK26" s="19" t="s">
        <v>1140</v>
      </c>
      <c r="AL26" s="19" t="s">
        <v>1140</v>
      </c>
      <c r="AM26" s="19">
        <v>0</v>
      </c>
      <c r="AN26" s="19" t="s">
        <v>1140</v>
      </c>
      <c r="AO26" s="19" t="s">
        <v>1140</v>
      </c>
      <c r="AP26" s="19" t="s">
        <v>1140</v>
      </c>
      <c r="AQ26" s="19" t="s">
        <v>1140</v>
      </c>
      <c r="AR26" s="19">
        <v>3</v>
      </c>
      <c r="AS26" s="19" t="s">
        <v>1140</v>
      </c>
      <c r="AT26" s="19" t="s">
        <v>1140</v>
      </c>
      <c r="AU26" s="19">
        <v>0</v>
      </c>
      <c r="AV26" s="19">
        <v>1</v>
      </c>
      <c r="AW26" s="19">
        <v>3</v>
      </c>
      <c r="AX26" s="19" t="s">
        <v>1140</v>
      </c>
      <c r="AY26" s="19" t="s">
        <v>1140</v>
      </c>
      <c r="AZ26" s="19" t="s">
        <v>1140</v>
      </c>
      <c r="BA26" s="19" t="s">
        <v>1140</v>
      </c>
      <c r="BB26" s="19" t="s">
        <v>1140</v>
      </c>
      <c r="BC26" s="19" t="s">
        <v>1140</v>
      </c>
      <c r="BD26" s="19" t="s">
        <v>1140</v>
      </c>
      <c r="BE26" s="19" t="s">
        <v>1140</v>
      </c>
      <c r="BF26" s="19" t="s">
        <v>1140</v>
      </c>
      <c r="BG26" s="19" t="s">
        <v>1140</v>
      </c>
      <c r="BH26" s="19">
        <v>0</v>
      </c>
      <c r="BI26" s="19">
        <v>0</v>
      </c>
      <c r="BJ26" s="19" t="s">
        <v>1140</v>
      </c>
      <c r="BK26" s="19" t="s">
        <v>1140</v>
      </c>
    </row>
    <row r="27" spans="1:63">
      <c r="A27">
        <f ca="1">tblIndicators!A19</f>
        <v>18</v>
      </c>
      <c r="B27">
        <f ca="1">tblIndicators!B19</f>
        <v>4</v>
      </c>
      <c r="C27" t="str">
        <f ca="1">tblIndicators!C19</f>
        <v>DEP01</v>
      </c>
      <c r="D27">
        <f ca="1">tblIndicators!D19</f>
        <v>0</v>
      </c>
      <c r="E27" t="e">
        <f ca="1">MATCH(C27,Weights!C$4:C$89,0)</f>
        <v>#N/A</v>
      </c>
      <c r="H27" t="str">
        <f ca="1">tblIndicators!K19</f>
        <v>MFI clients as % of population</v>
      </c>
      <c r="I27" s="171">
        <v>7.1620934959349769E-4</v>
      </c>
      <c r="J27" s="171" t="s">
        <v>1140</v>
      </c>
      <c r="K27" s="171" t="s">
        <v>1140</v>
      </c>
      <c r="L27" s="171" t="s">
        <v>1140</v>
      </c>
      <c r="M27" s="171">
        <v>6.8873989289089568E-2</v>
      </c>
      <c r="N27" s="171" t="s">
        <v>1140</v>
      </c>
      <c r="O27" s="171">
        <v>2.2912327030738355E-3</v>
      </c>
      <c r="P27" s="171" t="s">
        <v>1140</v>
      </c>
      <c r="Q27" s="171" t="s">
        <v>1140</v>
      </c>
      <c r="R27" s="171">
        <v>1.4455356066996111E-2</v>
      </c>
      <c r="S27" s="171" t="s">
        <v>1140</v>
      </c>
      <c r="T27" s="171">
        <v>2.0562607825179442E-2</v>
      </c>
      <c r="U27" s="171">
        <v>2.0917897091722596E-2</v>
      </c>
      <c r="V27" s="171">
        <v>2.938065138204414E-2</v>
      </c>
      <c r="W27" s="171" t="s">
        <v>1140</v>
      </c>
      <c r="X27" s="171">
        <v>6.6109037472447216E-2</v>
      </c>
      <c r="Y27" s="171">
        <v>4.2064233576642338E-2</v>
      </c>
      <c r="Z27" s="171" t="s">
        <v>1140</v>
      </c>
      <c r="AA27" s="171" t="s">
        <v>1140</v>
      </c>
      <c r="AB27" s="171" t="s">
        <v>1140</v>
      </c>
      <c r="AC27" s="171">
        <v>3.3060483569129426E-2</v>
      </c>
      <c r="AD27" s="171">
        <v>8.7535416666666664E-3</v>
      </c>
      <c r="AE27" s="171">
        <v>3.3627478554352414E-2</v>
      </c>
      <c r="AF27" s="171" t="s">
        <v>1140</v>
      </c>
      <c r="AG27" s="171" t="s">
        <v>1140</v>
      </c>
      <c r="AH27" s="171">
        <v>2.740878629932986E-3</v>
      </c>
      <c r="AI27" s="171" t="s">
        <v>1140</v>
      </c>
      <c r="AJ27" s="171" t="s">
        <v>1140</v>
      </c>
      <c r="AK27" s="171" t="s">
        <v>1140</v>
      </c>
      <c r="AL27" s="171" t="s">
        <v>1140</v>
      </c>
      <c r="AM27" s="171">
        <v>1.2243403863845446E-2</v>
      </c>
      <c r="AN27" s="171" t="s">
        <v>1140</v>
      </c>
      <c r="AO27" s="171" t="s">
        <v>1140</v>
      </c>
      <c r="AP27" s="171" t="s">
        <v>1140</v>
      </c>
      <c r="AQ27" s="171" t="s">
        <v>1140</v>
      </c>
      <c r="AR27" s="171">
        <v>6.8917461361394275E-2</v>
      </c>
      <c r="AS27" s="171" t="s">
        <v>1140</v>
      </c>
      <c r="AT27" s="171" t="s">
        <v>1140</v>
      </c>
      <c r="AU27" s="171">
        <v>4.1667165519305594E-3</v>
      </c>
      <c r="AV27" s="171">
        <v>2.8554595918367346E-2</v>
      </c>
      <c r="AW27" s="171">
        <v>4.6531380172174397E-2</v>
      </c>
      <c r="AX27" s="171" t="s">
        <v>1140</v>
      </c>
      <c r="AY27" s="171" t="s">
        <v>1140</v>
      </c>
      <c r="AZ27" s="171" t="s">
        <v>1140</v>
      </c>
      <c r="BA27" s="171" t="s">
        <v>1140</v>
      </c>
      <c r="BB27" s="171" t="s">
        <v>1140</v>
      </c>
      <c r="BC27" s="171" t="s">
        <v>1140</v>
      </c>
      <c r="BD27" s="171" t="s">
        <v>1140</v>
      </c>
      <c r="BE27" s="171" t="s">
        <v>1140</v>
      </c>
      <c r="BF27" s="171" t="s">
        <v>1140</v>
      </c>
      <c r="BG27" s="171" t="s">
        <v>1140</v>
      </c>
      <c r="BH27" s="171">
        <v>7.4277978339350181E-4</v>
      </c>
      <c r="BI27" s="171">
        <v>1.7904632751795991E-3</v>
      </c>
      <c r="BJ27" s="171" t="s">
        <v>1140</v>
      </c>
      <c r="BK27" s="171" t="s">
        <v>1140</v>
      </c>
    </row>
    <row r="28" spans="1:63">
      <c r="A28">
        <f ca="1">tblIndicators!A20</f>
        <v>19</v>
      </c>
      <c r="B28">
        <f ca="1">tblIndicators!B20</f>
        <v>4</v>
      </c>
      <c r="C28" t="str">
        <f ca="1">tblIndicators!C20</f>
        <v>DEP02</v>
      </c>
      <c r="D28">
        <f ca="1">tblIndicators!D20</f>
        <v>0</v>
      </c>
      <c r="E28" t="e">
        <f ca="1">MATCH(C28,Weights!C$4:C$89,0)</f>
        <v>#N/A</v>
      </c>
      <c r="H28" t="str">
        <f ca="1">tblIndicators!K20</f>
        <v>MFI clients as % of microenterprises</v>
      </c>
      <c r="I28" s="171">
        <v>2.8115176915192966E-3</v>
      </c>
      <c r="J28" s="171" t="s">
        <v>1140</v>
      </c>
      <c r="K28" s="171" t="s">
        <v>1140</v>
      </c>
      <c r="L28" s="171" t="s">
        <v>1140</v>
      </c>
      <c r="M28" s="171">
        <v>0.31562869894023204</v>
      </c>
      <c r="N28" s="171" t="s">
        <v>1140</v>
      </c>
      <c r="O28" s="171">
        <v>1.2928303003645846E-2</v>
      </c>
      <c r="P28" s="171" t="s">
        <v>1140</v>
      </c>
      <c r="Q28" s="171" t="s">
        <v>1140</v>
      </c>
      <c r="R28" s="171">
        <v>0.19904656431850123</v>
      </c>
      <c r="S28" s="171" t="s">
        <v>1140</v>
      </c>
      <c r="T28" s="171">
        <v>7.1735555704497106E-2</v>
      </c>
      <c r="U28" s="171">
        <v>0</v>
      </c>
      <c r="V28" s="171">
        <v>0.10382451590780013</v>
      </c>
      <c r="W28" s="171" t="s">
        <v>1140</v>
      </c>
      <c r="X28" s="171">
        <v>0.26904596525221602</v>
      </c>
      <c r="Y28" s="171">
        <v>0.16196593161937706</v>
      </c>
      <c r="Z28" s="171" t="s">
        <v>1140</v>
      </c>
      <c r="AA28" s="171" t="s">
        <v>1140</v>
      </c>
      <c r="AB28" s="171" t="s">
        <v>1140</v>
      </c>
      <c r="AC28" s="171">
        <v>0.22704793189674516</v>
      </c>
      <c r="AD28" s="171">
        <v>0</v>
      </c>
      <c r="AE28" s="171">
        <v>0</v>
      </c>
      <c r="AF28" s="171" t="s">
        <v>1140</v>
      </c>
      <c r="AG28" s="171" t="s">
        <v>1140</v>
      </c>
      <c r="AH28" s="171">
        <v>0</v>
      </c>
      <c r="AI28" s="171" t="s">
        <v>1140</v>
      </c>
      <c r="AJ28" s="171" t="s">
        <v>1140</v>
      </c>
      <c r="AK28" s="171" t="s">
        <v>1140</v>
      </c>
      <c r="AL28" s="171" t="s">
        <v>1140</v>
      </c>
      <c r="AM28" s="171">
        <v>0.11716820292479894</v>
      </c>
      <c r="AN28" s="171" t="s">
        <v>1140</v>
      </c>
      <c r="AO28" s="171" t="s">
        <v>1140</v>
      </c>
      <c r="AP28" s="171" t="s">
        <v>1140</v>
      </c>
      <c r="AQ28" s="171" t="s">
        <v>1140</v>
      </c>
      <c r="AR28" s="171">
        <v>0.58347605802433988</v>
      </c>
      <c r="AS28" s="171" t="s">
        <v>1140</v>
      </c>
      <c r="AT28" s="171" t="s">
        <v>1140</v>
      </c>
      <c r="AU28" s="171">
        <v>0</v>
      </c>
      <c r="AV28" s="171">
        <v>6.179420534093856E-2</v>
      </c>
      <c r="AW28" s="171">
        <v>0.23518268818494176</v>
      </c>
      <c r="AX28" s="171" t="s">
        <v>1140</v>
      </c>
      <c r="AY28" s="171" t="s">
        <v>1140</v>
      </c>
      <c r="AZ28" s="171" t="s">
        <v>1140</v>
      </c>
      <c r="BA28" s="171" t="s">
        <v>1140</v>
      </c>
      <c r="BB28" s="171" t="s">
        <v>1140</v>
      </c>
      <c r="BC28" s="171" t="s">
        <v>1140</v>
      </c>
      <c r="BD28" s="171" t="s">
        <v>1140</v>
      </c>
      <c r="BE28" s="171" t="s">
        <v>1140</v>
      </c>
      <c r="BF28" s="171" t="s">
        <v>1140</v>
      </c>
      <c r="BG28" s="171" t="s">
        <v>1140</v>
      </c>
      <c r="BH28" s="171">
        <v>1.8481447519663175E-2</v>
      </c>
      <c r="BI28" s="171">
        <v>1.3848243648281897E-2</v>
      </c>
      <c r="BJ28" s="171" t="s">
        <v>1140</v>
      </c>
      <c r="BK28" s="171" t="s">
        <v>1140</v>
      </c>
    </row>
  </sheetData>
  <phoneticPr fontId="0"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24"/>
  <dimension ref="A1:N57"/>
  <sheetViews>
    <sheetView workbookViewId="0">
      <selection activeCell="F3" sqref="F3"/>
    </sheetView>
  </sheetViews>
  <sheetFormatPr defaultRowHeight="12.75"/>
  <cols>
    <col min="4" max="4" width="2" bestFit="1" customWidth="1"/>
    <col min="5" max="5" width="3.28515625" customWidth="1"/>
    <col min="6" max="6" width="8.140625" customWidth="1"/>
    <col min="7" max="9" width="3.28515625" customWidth="1"/>
    <col min="14" max="14" width="2" bestFit="1" customWidth="1"/>
  </cols>
  <sheetData>
    <row r="1" spans="1:14">
      <c r="F1" t="s">
        <v>715</v>
      </c>
      <c r="J1" t="s">
        <v>716</v>
      </c>
      <c r="M1" t="s">
        <v>717</v>
      </c>
    </row>
    <row r="2" spans="1:14">
      <c r="B2" t="s">
        <v>867</v>
      </c>
      <c r="F2" t="str">
        <f ca="1">uxb_settings!C7</f>
        <v>ALL COUNTRIES</v>
      </c>
      <c r="J2" t="str">
        <f ca="1">uxb_settings!C9</f>
        <v>ALL COUNTRIES</v>
      </c>
      <c r="M2" t="str">
        <f ca="1">uxb_settings!C11</f>
        <v>&lt;none&gt;</v>
      </c>
    </row>
    <row r="3" spans="1:14">
      <c r="A3" t="str">
        <f ca="1">i_rank_i!CE7</f>
        <v>Peru</v>
      </c>
      <c r="B3">
        <f ca="1">i_rank_i!CC7</f>
        <v>2</v>
      </c>
      <c r="C3" s="60">
        <f ca="1">i_rank_i!CF7</f>
        <v>73.8</v>
      </c>
      <c r="D3">
        <v>1</v>
      </c>
      <c r="F3" t="e">
        <f ca="1">IF(B3=1,C3,NA())</f>
        <v>#N/A</v>
      </c>
      <c r="G3">
        <v>1</v>
      </c>
      <c r="J3">
        <f ca="1">IF(B3=2,C3,NA())</f>
        <v>73.8</v>
      </c>
      <c r="K3">
        <v>1</v>
      </c>
      <c r="M3" t="e">
        <f ca="1">IF(B3=3,C3,NA())</f>
        <v>#N/A</v>
      </c>
      <c r="N3">
        <v>1</v>
      </c>
    </row>
    <row r="4" spans="1:14">
      <c r="A4" t="str">
        <f ca="1">i_rank_i!CE8</f>
        <v>Bolivia</v>
      </c>
      <c r="B4">
        <f ca="1">i_rank_i!CC8</f>
        <v>2</v>
      </c>
      <c r="C4" s="60">
        <f ca="1">i_rank_i!CF8</f>
        <v>71.7</v>
      </c>
      <c r="D4">
        <v>1</v>
      </c>
      <c r="F4" t="e">
        <f t="shared" ref="F4:F57" ca="1" si="0">IF(B4=1,C4,NA())</f>
        <v>#N/A</v>
      </c>
      <c r="G4">
        <v>1</v>
      </c>
      <c r="J4">
        <f t="shared" ref="J4:J57" ca="1" si="1">IF(B4=2,C4,NA())</f>
        <v>71.7</v>
      </c>
      <c r="K4">
        <v>1</v>
      </c>
      <c r="M4" t="e">
        <f ca="1">IF(B4=3,C4,NA())</f>
        <v>#N/A</v>
      </c>
      <c r="N4">
        <v>1</v>
      </c>
    </row>
    <row r="5" spans="1:14">
      <c r="A5" t="str">
        <f ca="1">i_rank_i!CE9</f>
        <v>Philippines</v>
      </c>
      <c r="B5">
        <f ca="1">i_rank_i!CC9</f>
        <v>2</v>
      </c>
      <c r="C5" s="60">
        <f ca="1">i_rank_i!CF9</f>
        <v>68.400000000000006</v>
      </c>
      <c r="D5">
        <v>1</v>
      </c>
      <c r="F5" t="e">
        <f t="shared" ca="1" si="0"/>
        <v>#N/A</v>
      </c>
      <c r="G5">
        <v>1</v>
      </c>
      <c r="J5">
        <f t="shared" ca="1" si="1"/>
        <v>68.400000000000006</v>
      </c>
      <c r="K5">
        <v>1</v>
      </c>
      <c r="M5" t="e">
        <f t="shared" ref="M5:M57" ca="1" si="2">IF(B5=3,C5,NA())</f>
        <v>#N/A</v>
      </c>
      <c r="N5">
        <v>1</v>
      </c>
    </row>
    <row r="6" spans="1:14">
      <c r="A6" t="str">
        <f ca="1">i_rank_i!CE10</f>
        <v>India</v>
      </c>
      <c r="B6">
        <f ca="1">i_rank_i!CC10</f>
        <v>2</v>
      </c>
      <c r="C6" s="60">
        <f ca="1">i_rank_i!CF10</f>
        <v>62.1</v>
      </c>
      <c r="D6">
        <v>1</v>
      </c>
      <c r="F6" t="e">
        <f t="shared" ca="1" si="0"/>
        <v>#N/A</v>
      </c>
      <c r="G6">
        <v>1</v>
      </c>
      <c r="J6">
        <f t="shared" ca="1" si="1"/>
        <v>62.1</v>
      </c>
      <c r="K6">
        <v>1</v>
      </c>
      <c r="M6" t="e">
        <f t="shared" ca="1" si="2"/>
        <v>#N/A</v>
      </c>
      <c r="N6">
        <v>1</v>
      </c>
    </row>
    <row r="7" spans="1:14">
      <c r="A7" t="str">
        <f ca="1">i_rank_i!CE11</f>
        <v>Ghana</v>
      </c>
      <c r="B7">
        <f ca="1">i_rank_i!CC11</f>
        <v>2</v>
      </c>
      <c r="C7" s="60">
        <f ca="1">i_rank_i!CF11</f>
        <v>60.9</v>
      </c>
      <c r="D7">
        <v>1</v>
      </c>
      <c r="F7" t="e">
        <f t="shared" ca="1" si="0"/>
        <v>#N/A</v>
      </c>
      <c r="G7">
        <v>1</v>
      </c>
      <c r="J7">
        <f t="shared" ca="1" si="1"/>
        <v>60.9</v>
      </c>
      <c r="K7">
        <v>1</v>
      </c>
      <c r="M7" t="e">
        <f t="shared" ca="1" si="2"/>
        <v>#N/A</v>
      </c>
      <c r="N7">
        <v>1</v>
      </c>
    </row>
    <row r="8" spans="1:14">
      <c r="A8" t="str">
        <f ca="1">i_rank_i!CE12</f>
        <v>Ecuador</v>
      </c>
      <c r="B8">
        <f ca="1">i_rank_i!CC12</f>
        <v>2</v>
      </c>
      <c r="C8" s="60">
        <f ca="1">i_rank_i!CF12</f>
        <v>59.7</v>
      </c>
      <c r="D8">
        <v>1</v>
      </c>
      <c r="F8" t="e">
        <f t="shared" ca="1" si="0"/>
        <v>#N/A</v>
      </c>
      <c r="G8">
        <v>1</v>
      </c>
      <c r="J8">
        <f t="shared" ca="1" si="1"/>
        <v>59.7</v>
      </c>
      <c r="K8">
        <v>1</v>
      </c>
      <c r="M8" t="e">
        <f t="shared" ca="1" si="2"/>
        <v>#N/A</v>
      </c>
      <c r="N8">
        <v>1</v>
      </c>
    </row>
    <row r="9" spans="1:14">
      <c r="A9" t="str">
        <f ca="1">i_rank_i!CE13</f>
        <v>Nicaragua</v>
      </c>
      <c r="B9">
        <f ca="1">i_rank_i!CC13</f>
        <v>2</v>
      </c>
      <c r="C9" s="60">
        <f ca="1">i_rank_i!CF13</f>
        <v>58.7</v>
      </c>
      <c r="D9">
        <v>1</v>
      </c>
      <c r="F9" t="e">
        <f t="shared" ca="1" si="0"/>
        <v>#N/A</v>
      </c>
      <c r="G9">
        <v>1</v>
      </c>
      <c r="J9">
        <f t="shared" ca="1" si="1"/>
        <v>58.7</v>
      </c>
      <c r="K9">
        <v>1</v>
      </c>
      <c r="M9" t="e">
        <f t="shared" ca="1" si="2"/>
        <v>#N/A</v>
      </c>
      <c r="N9">
        <v>1</v>
      </c>
    </row>
    <row r="10" spans="1:14">
      <c r="A10" t="str">
        <f ca="1">i_rank_i!CE14</f>
        <v>Colombia</v>
      </c>
      <c r="B10">
        <f ca="1">i_rank_i!CC14</f>
        <v>2</v>
      </c>
      <c r="C10" s="60">
        <f ca="1">i_rank_i!CF14</f>
        <v>58.6</v>
      </c>
      <c r="D10">
        <v>1</v>
      </c>
      <c r="F10" t="e">
        <f t="shared" ca="1" si="0"/>
        <v>#N/A</v>
      </c>
      <c r="G10">
        <v>1</v>
      </c>
      <c r="J10">
        <f t="shared" ca="1" si="1"/>
        <v>58.6</v>
      </c>
      <c r="K10">
        <v>1</v>
      </c>
      <c r="M10" t="e">
        <f t="shared" ca="1" si="2"/>
        <v>#N/A</v>
      </c>
      <c r="N10">
        <v>1</v>
      </c>
    </row>
    <row r="11" spans="1:14">
      <c r="A11" t="str">
        <f ca="1">i_rank_i!CE15</f>
        <v>El Salvador</v>
      </c>
      <c r="B11">
        <f ca="1">i_rank_i!CC15</f>
        <v>2</v>
      </c>
      <c r="C11" s="60">
        <f ca="1">i_rank_i!CF15</f>
        <v>57.5</v>
      </c>
      <c r="D11">
        <v>1</v>
      </c>
      <c r="F11" t="e">
        <f t="shared" ca="1" si="0"/>
        <v>#N/A</v>
      </c>
      <c r="G11">
        <v>1</v>
      </c>
      <c r="J11">
        <f t="shared" ca="1" si="1"/>
        <v>57.5</v>
      </c>
      <c r="K11">
        <v>1</v>
      </c>
      <c r="M11" t="e">
        <f t="shared" ca="1" si="2"/>
        <v>#N/A</v>
      </c>
      <c r="N11">
        <v>1</v>
      </c>
    </row>
    <row r="12" spans="1:14">
      <c r="A12" t="str">
        <f ca="1">i_rank_i!CE16</f>
        <v>Uganda</v>
      </c>
      <c r="B12">
        <f ca="1">i_rank_i!CC16</f>
        <v>2</v>
      </c>
      <c r="C12" s="60">
        <f ca="1">i_rank_i!CF16</f>
        <v>57.5</v>
      </c>
      <c r="D12">
        <v>1</v>
      </c>
      <c r="F12" t="e">
        <f t="shared" ca="1" si="0"/>
        <v>#N/A</v>
      </c>
      <c r="G12">
        <v>1</v>
      </c>
      <c r="J12">
        <f t="shared" ca="1" si="1"/>
        <v>57.5</v>
      </c>
      <c r="K12">
        <v>1</v>
      </c>
      <c r="M12" t="e">
        <f t="shared" ca="1" si="2"/>
        <v>#N/A</v>
      </c>
      <c r="N12">
        <v>1</v>
      </c>
    </row>
    <row r="13" spans="1:14">
      <c r="A13" t="str">
        <f ca="1">i_rank_i!CE17</f>
        <v>Pakistan</v>
      </c>
      <c r="B13">
        <f ca="1">i_rank_i!CC17</f>
        <v>2</v>
      </c>
      <c r="C13" s="60">
        <f ca="1">i_rank_i!CF17</f>
        <v>56.5</v>
      </c>
      <c r="D13">
        <v>1</v>
      </c>
      <c r="F13" t="e">
        <f t="shared" ca="1" si="0"/>
        <v>#N/A</v>
      </c>
      <c r="G13">
        <v>1</v>
      </c>
      <c r="J13">
        <f t="shared" ca="1" si="1"/>
        <v>56.5</v>
      </c>
      <c r="K13">
        <v>1</v>
      </c>
      <c r="M13" t="e">
        <f t="shared" ca="1" si="2"/>
        <v>#N/A</v>
      </c>
      <c r="N13">
        <v>1</v>
      </c>
    </row>
    <row r="14" spans="1:14">
      <c r="A14" t="str">
        <f ca="1">i_rank_i!CE18</f>
        <v>Kyrgyzstan</v>
      </c>
      <c r="B14">
        <f ca="1">i_rank_i!CC18</f>
        <v>2</v>
      </c>
      <c r="C14" s="60">
        <f ca="1">i_rank_i!CF18</f>
        <v>56.2</v>
      </c>
      <c r="D14">
        <v>1</v>
      </c>
      <c r="F14" t="e">
        <f t="shared" ca="1" si="0"/>
        <v>#N/A</v>
      </c>
      <c r="G14">
        <v>1</v>
      </c>
      <c r="J14">
        <f t="shared" ca="1" si="1"/>
        <v>56.2</v>
      </c>
      <c r="K14">
        <v>1</v>
      </c>
      <c r="M14" t="e">
        <f t="shared" ca="1" si="2"/>
        <v>#N/A</v>
      </c>
      <c r="N14">
        <v>1</v>
      </c>
    </row>
    <row r="15" spans="1:14">
      <c r="A15" t="str">
        <f ca="1">i_rank_i!CE19</f>
        <v>Kenya</v>
      </c>
      <c r="B15">
        <f ca="1">i_rank_i!CC19</f>
        <v>2</v>
      </c>
      <c r="C15" s="60">
        <f ca="1">i_rank_i!CF19</f>
        <v>55.8</v>
      </c>
      <c r="D15">
        <v>1</v>
      </c>
      <c r="F15" t="e">
        <f t="shared" ca="1" si="0"/>
        <v>#N/A</v>
      </c>
      <c r="G15">
        <v>1</v>
      </c>
      <c r="J15">
        <f t="shared" ca="1" si="1"/>
        <v>55.8</v>
      </c>
      <c r="K15">
        <v>1</v>
      </c>
      <c r="M15" t="e">
        <f t="shared" ca="1" si="2"/>
        <v>#N/A</v>
      </c>
      <c r="N15">
        <v>1</v>
      </c>
    </row>
    <row r="16" spans="1:14">
      <c r="A16" t="str">
        <f ca="1">i_rank_i!CE20</f>
        <v>Cambodia</v>
      </c>
      <c r="B16">
        <f ca="1">i_rank_i!CC20</f>
        <v>2</v>
      </c>
      <c r="C16" s="60">
        <f ca="1">i_rank_i!CF20</f>
        <v>54.1</v>
      </c>
      <c r="D16">
        <v>1</v>
      </c>
      <c r="F16" t="e">
        <f t="shared" ca="1" si="0"/>
        <v>#N/A</v>
      </c>
      <c r="G16">
        <v>1</v>
      </c>
      <c r="J16">
        <f t="shared" ca="1" si="1"/>
        <v>54.1</v>
      </c>
      <c r="K16">
        <v>1</v>
      </c>
      <c r="M16" t="e">
        <f t="shared" ca="1" si="2"/>
        <v>#N/A</v>
      </c>
      <c r="N16">
        <v>1</v>
      </c>
    </row>
    <row r="17" spans="1:14">
      <c r="A17" t="str">
        <f ca="1">i_rank_i!CE21</f>
        <v>Guatemala</v>
      </c>
      <c r="B17">
        <f ca="1">i_rank_i!CC21</f>
        <v>2</v>
      </c>
      <c r="C17" s="60">
        <f ca="1">i_rank_i!CF21</f>
        <v>51.8</v>
      </c>
      <c r="D17">
        <v>1</v>
      </c>
      <c r="F17" t="e">
        <f t="shared" ca="1" si="0"/>
        <v>#N/A</v>
      </c>
      <c r="G17">
        <v>1</v>
      </c>
      <c r="J17">
        <f t="shared" ca="1" si="1"/>
        <v>51.8</v>
      </c>
      <c r="K17">
        <v>1</v>
      </c>
      <c r="M17" t="e">
        <f t="shared" ca="1" si="2"/>
        <v>#N/A</v>
      </c>
      <c r="N17">
        <v>1</v>
      </c>
    </row>
    <row r="18" spans="1:14">
      <c r="A18" t="str">
        <f ca="1">i_rank_i!CE22</f>
        <v>Panama</v>
      </c>
      <c r="B18">
        <f ca="1">i_rank_i!CC22</f>
        <v>2</v>
      </c>
      <c r="C18" s="60">
        <f ca="1">i_rank_i!CF22</f>
        <v>50.9</v>
      </c>
      <c r="D18">
        <v>1</v>
      </c>
      <c r="F18" t="e">
        <f t="shared" ca="1" si="0"/>
        <v>#N/A</v>
      </c>
      <c r="G18">
        <v>1</v>
      </c>
      <c r="J18">
        <f t="shared" ca="1" si="1"/>
        <v>50.9</v>
      </c>
      <c r="K18">
        <v>1</v>
      </c>
      <c r="M18" t="e">
        <f t="shared" ca="1" si="2"/>
        <v>#N/A</v>
      </c>
      <c r="N18">
        <v>1</v>
      </c>
    </row>
    <row r="19" spans="1:14">
      <c r="A19" t="str">
        <f ca="1">i_rank_i!CE23</f>
        <v>Paraguay</v>
      </c>
      <c r="B19">
        <f ca="1">i_rank_i!CC23</f>
        <v>2</v>
      </c>
      <c r="C19" s="60">
        <f ca="1">i_rank_i!CF23</f>
        <v>49.5</v>
      </c>
      <c r="D19">
        <v>1</v>
      </c>
      <c r="F19" t="e">
        <f t="shared" ca="1" si="0"/>
        <v>#N/A</v>
      </c>
      <c r="G19">
        <v>1</v>
      </c>
      <c r="J19">
        <f t="shared" ca="1" si="1"/>
        <v>49.5</v>
      </c>
      <c r="K19">
        <v>1</v>
      </c>
      <c r="M19" t="e">
        <f t="shared" ca="1" si="2"/>
        <v>#N/A</v>
      </c>
      <c r="N19">
        <v>1</v>
      </c>
    </row>
    <row r="20" spans="1:14">
      <c r="A20" t="str">
        <f ca="1">i_rank_i!CE24</f>
        <v>Honduras</v>
      </c>
      <c r="B20">
        <f ca="1">i_rank_i!CC24</f>
        <v>2</v>
      </c>
      <c r="C20" s="60">
        <f ca="1">i_rank_i!CF24</f>
        <v>49.3</v>
      </c>
      <c r="D20">
        <v>1</v>
      </c>
      <c r="F20" t="e">
        <f t="shared" ca="1" si="0"/>
        <v>#N/A</v>
      </c>
      <c r="G20">
        <v>1</v>
      </c>
      <c r="J20">
        <f t="shared" ca="1" si="1"/>
        <v>49.3</v>
      </c>
      <c r="K20">
        <v>1</v>
      </c>
      <c r="M20" t="e">
        <f t="shared" ca="1" si="2"/>
        <v>#N/A</v>
      </c>
      <c r="N20">
        <v>1</v>
      </c>
    </row>
    <row r="21" spans="1:14">
      <c r="A21" t="str">
        <f ca="1">i_rank_i!CE25</f>
        <v>Tanzania</v>
      </c>
      <c r="B21">
        <f ca="1">i_rank_i!CC25</f>
        <v>2</v>
      </c>
      <c r="C21" s="60">
        <f ca="1">i_rank_i!CF25</f>
        <v>48.4</v>
      </c>
      <c r="D21">
        <v>1</v>
      </c>
      <c r="F21" t="e">
        <f t="shared" ca="1" si="0"/>
        <v>#N/A</v>
      </c>
      <c r="G21">
        <v>1</v>
      </c>
      <c r="J21">
        <f t="shared" ca="1" si="1"/>
        <v>48.4</v>
      </c>
      <c r="K21">
        <v>1</v>
      </c>
      <c r="M21" t="e">
        <f t="shared" ca="1" si="2"/>
        <v>#N/A</v>
      </c>
      <c r="N21">
        <v>1</v>
      </c>
    </row>
    <row r="22" spans="1:14">
      <c r="A22" t="str">
        <f ca="1">i_rank_i!CE26</f>
        <v>Chile</v>
      </c>
      <c r="B22">
        <f ca="1">i_rank_i!CC26</f>
        <v>2</v>
      </c>
      <c r="C22" s="60">
        <f ca="1">i_rank_i!CF26</f>
        <v>48</v>
      </c>
      <c r="D22">
        <v>1</v>
      </c>
      <c r="F22" t="e">
        <f t="shared" ca="1" si="0"/>
        <v>#N/A</v>
      </c>
      <c r="G22">
        <v>1</v>
      </c>
      <c r="J22">
        <f t="shared" ca="1" si="1"/>
        <v>48</v>
      </c>
      <c r="K22">
        <v>1</v>
      </c>
      <c r="M22" t="e">
        <f t="shared" ca="1" si="2"/>
        <v>#N/A</v>
      </c>
      <c r="N22">
        <v>1</v>
      </c>
    </row>
    <row r="23" spans="1:14">
      <c r="A23" t="str">
        <f ca="1">i_rank_i!CE27</f>
        <v>Mexico</v>
      </c>
      <c r="B23">
        <f ca="1">i_rank_i!CC27</f>
        <v>2</v>
      </c>
      <c r="C23" s="60">
        <f ca="1">i_rank_i!CF27</f>
        <v>47.3</v>
      </c>
      <c r="D23">
        <v>1</v>
      </c>
      <c r="F23" t="e">
        <f t="shared" ca="1" si="0"/>
        <v>#N/A</v>
      </c>
      <c r="G23">
        <v>1</v>
      </c>
      <c r="J23">
        <f t="shared" ca="1" si="1"/>
        <v>47.3</v>
      </c>
      <c r="K23">
        <v>1</v>
      </c>
      <c r="M23" t="e">
        <f t="shared" ca="1" si="2"/>
        <v>#N/A</v>
      </c>
      <c r="N23">
        <v>1</v>
      </c>
    </row>
    <row r="24" spans="1:14">
      <c r="A24" t="str">
        <f ca="1">i_rank_i!CE28</f>
        <v>Dominican Republic</v>
      </c>
      <c r="B24">
        <f ca="1">i_rank_i!CC28</f>
        <v>2</v>
      </c>
      <c r="C24" s="60">
        <f ca="1">i_rank_i!CF28</f>
        <v>47</v>
      </c>
      <c r="D24">
        <v>1</v>
      </c>
      <c r="F24" t="e">
        <f t="shared" ca="1" si="0"/>
        <v>#N/A</v>
      </c>
      <c r="G24">
        <v>1</v>
      </c>
      <c r="J24">
        <f t="shared" ca="1" si="1"/>
        <v>47</v>
      </c>
      <c r="K24">
        <v>1</v>
      </c>
      <c r="M24" t="e">
        <f t="shared" ca="1" si="2"/>
        <v>#N/A</v>
      </c>
      <c r="N24">
        <v>1</v>
      </c>
    </row>
    <row r="25" spans="1:14">
      <c r="A25" t="str">
        <f ca="1">i_rank_i!CE29</f>
        <v>Georgia</v>
      </c>
      <c r="B25">
        <f ca="1">i_rank_i!CC29</f>
        <v>2</v>
      </c>
      <c r="C25" s="60">
        <f ca="1">i_rank_i!CF29</f>
        <v>45.1</v>
      </c>
      <c r="D25">
        <v>1</v>
      </c>
      <c r="F25" t="e">
        <f t="shared" ca="1" si="0"/>
        <v>#N/A</v>
      </c>
      <c r="G25">
        <v>1</v>
      </c>
      <c r="J25">
        <f t="shared" ca="1" si="1"/>
        <v>45.1</v>
      </c>
      <c r="K25">
        <v>1</v>
      </c>
      <c r="M25" t="e">
        <f t="shared" ca="1" si="2"/>
        <v>#N/A</v>
      </c>
      <c r="N25">
        <v>1</v>
      </c>
    </row>
    <row r="26" spans="1:14">
      <c r="A26" t="str">
        <f ca="1">i_rank_i!CE30</f>
        <v>Brazil</v>
      </c>
      <c r="B26">
        <f ca="1">i_rank_i!CC30</f>
        <v>2</v>
      </c>
      <c r="C26" s="60">
        <f ca="1">i_rank_i!CF30</f>
        <v>44</v>
      </c>
      <c r="D26">
        <v>1</v>
      </c>
      <c r="F26" t="e">
        <f t="shared" ca="1" si="0"/>
        <v>#N/A</v>
      </c>
      <c r="G26">
        <v>1</v>
      </c>
      <c r="J26">
        <f t="shared" ca="1" si="1"/>
        <v>44</v>
      </c>
      <c r="K26">
        <v>1</v>
      </c>
      <c r="M26" t="e">
        <f t="shared" ca="1" si="2"/>
        <v>#N/A</v>
      </c>
      <c r="N26">
        <v>1</v>
      </c>
    </row>
    <row r="27" spans="1:14">
      <c r="A27" t="str">
        <f ca="1">i_rank_i!CE31</f>
        <v>Armenia</v>
      </c>
      <c r="B27">
        <f ca="1">i_rank_i!CC31</f>
        <v>2</v>
      </c>
      <c r="C27" s="60">
        <f ca="1">i_rank_i!CF31</f>
        <v>43.9</v>
      </c>
      <c r="D27">
        <v>1</v>
      </c>
      <c r="F27" t="e">
        <f t="shared" ca="1" si="0"/>
        <v>#N/A</v>
      </c>
      <c r="G27">
        <v>1</v>
      </c>
      <c r="J27">
        <f t="shared" ca="1" si="1"/>
        <v>43.9</v>
      </c>
      <c r="K27">
        <v>1</v>
      </c>
      <c r="M27" t="e">
        <f t="shared" ca="1" si="2"/>
        <v>#N/A</v>
      </c>
      <c r="N27">
        <v>1</v>
      </c>
    </row>
    <row r="28" spans="1:14">
      <c r="A28" t="str">
        <f ca="1">i_rank_i!CE32</f>
        <v>Bosnia</v>
      </c>
      <c r="B28">
        <f ca="1">i_rank_i!CC32</f>
        <v>2</v>
      </c>
      <c r="C28" s="60">
        <f ca="1">i_rank_i!CF32</f>
        <v>43.1</v>
      </c>
      <c r="D28">
        <v>1</v>
      </c>
      <c r="F28" t="e">
        <f t="shared" ca="1" si="0"/>
        <v>#N/A</v>
      </c>
      <c r="G28">
        <v>1</v>
      </c>
      <c r="J28">
        <f t="shared" ca="1" si="1"/>
        <v>43.1</v>
      </c>
      <c r="K28">
        <v>1</v>
      </c>
      <c r="M28" t="e">
        <f t="shared" ca="1" si="2"/>
        <v>#N/A</v>
      </c>
      <c r="N28">
        <v>1</v>
      </c>
    </row>
    <row r="29" spans="1:14">
      <c r="A29" t="str">
        <f ca="1">i_rank_i!CE33</f>
        <v>Bangladesh</v>
      </c>
      <c r="B29">
        <f ca="1">i_rank_i!CC33</f>
        <v>2</v>
      </c>
      <c r="C29" s="60">
        <f ca="1">i_rank_i!CF33</f>
        <v>42.7</v>
      </c>
      <c r="D29">
        <v>1</v>
      </c>
      <c r="F29" t="e">
        <f t="shared" ca="1" si="0"/>
        <v>#N/A</v>
      </c>
      <c r="G29">
        <v>1</v>
      </c>
      <c r="J29">
        <f t="shared" ca="1" si="1"/>
        <v>42.7</v>
      </c>
      <c r="K29">
        <v>1</v>
      </c>
      <c r="M29" t="e">
        <f t="shared" ca="1" si="2"/>
        <v>#N/A</v>
      </c>
      <c r="N29">
        <v>1</v>
      </c>
    </row>
    <row r="30" spans="1:14">
      <c r="A30" t="str">
        <f ca="1">i_rank_i!CE34</f>
        <v>Costa Rica</v>
      </c>
      <c r="B30">
        <f ca="1">i_rank_i!CC34</f>
        <v>2</v>
      </c>
      <c r="C30" s="60">
        <f ca="1">i_rank_i!CF34</f>
        <v>42.5</v>
      </c>
      <c r="D30">
        <v>1</v>
      </c>
      <c r="F30" t="e">
        <f t="shared" ca="1" si="0"/>
        <v>#N/A</v>
      </c>
      <c r="G30">
        <v>1</v>
      </c>
      <c r="J30">
        <f t="shared" ca="1" si="1"/>
        <v>42.5</v>
      </c>
      <c r="K30">
        <v>1</v>
      </c>
      <c r="M30" t="e">
        <f t="shared" ca="1" si="2"/>
        <v>#N/A</v>
      </c>
      <c r="N30">
        <v>1</v>
      </c>
    </row>
    <row r="31" spans="1:14">
      <c r="A31" t="str">
        <f ca="1">i_rank_i!CE35</f>
        <v>Yemen</v>
      </c>
      <c r="B31">
        <f ca="1">i_rank_i!CC35</f>
        <v>2</v>
      </c>
      <c r="C31" s="60">
        <f ca="1">i_rank_i!CF35</f>
        <v>42.1</v>
      </c>
      <c r="D31">
        <v>1</v>
      </c>
      <c r="F31" t="e">
        <f t="shared" ca="1" si="0"/>
        <v>#N/A</v>
      </c>
      <c r="G31">
        <v>1</v>
      </c>
      <c r="J31">
        <f t="shared" ca="1" si="1"/>
        <v>42.1</v>
      </c>
      <c r="K31">
        <v>1</v>
      </c>
      <c r="M31" t="e">
        <f t="shared" ca="1" si="2"/>
        <v>#N/A</v>
      </c>
      <c r="N31">
        <v>1</v>
      </c>
    </row>
    <row r="32" spans="1:14">
      <c r="A32" t="str">
        <f ca="1">i_rank_i!CE36</f>
        <v>Sri Lanka</v>
      </c>
      <c r="B32">
        <f ca="1">i_rank_i!CC36</f>
        <v>2</v>
      </c>
      <c r="C32" s="60">
        <f ca="1">i_rank_i!CF36</f>
        <v>40.4</v>
      </c>
      <c r="D32">
        <v>1</v>
      </c>
      <c r="F32" t="e">
        <f t="shared" ca="1" si="0"/>
        <v>#N/A</v>
      </c>
      <c r="G32">
        <v>1</v>
      </c>
      <c r="J32">
        <f t="shared" ca="1" si="1"/>
        <v>40.4</v>
      </c>
      <c r="K32">
        <v>1</v>
      </c>
      <c r="M32" t="e">
        <f t="shared" ca="1" si="2"/>
        <v>#N/A</v>
      </c>
      <c r="N32">
        <v>1</v>
      </c>
    </row>
    <row r="33" spans="1:14">
      <c r="A33" t="str">
        <f ca="1">i_rank_i!CE37</f>
        <v>Tajikistan</v>
      </c>
      <c r="B33">
        <f ca="1">i_rank_i!CC37</f>
        <v>2</v>
      </c>
      <c r="C33" s="60">
        <f ca="1">i_rank_i!CF37</f>
        <v>40.4</v>
      </c>
      <c r="D33">
        <v>1</v>
      </c>
      <c r="F33" t="e">
        <f t="shared" ca="1" si="0"/>
        <v>#N/A</v>
      </c>
      <c r="G33">
        <v>1</v>
      </c>
      <c r="J33">
        <f t="shared" ca="1" si="1"/>
        <v>40.4</v>
      </c>
      <c r="K33">
        <v>1</v>
      </c>
      <c r="M33" t="e">
        <f t="shared" ca="1" si="2"/>
        <v>#N/A</v>
      </c>
      <c r="N33">
        <v>1</v>
      </c>
    </row>
    <row r="34" spans="1:14">
      <c r="A34" t="str">
        <f ca="1">i_rank_i!CE38</f>
        <v>Mozambique</v>
      </c>
      <c r="B34">
        <f ca="1">i_rank_i!CC38</f>
        <v>2</v>
      </c>
      <c r="C34" s="60">
        <f ca="1">i_rank_i!CF38</f>
        <v>40.299999999999997</v>
      </c>
      <c r="D34">
        <v>1</v>
      </c>
      <c r="F34" t="e">
        <f t="shared" ca="1" si="0"/>
        <v>#N/A</v>
      </c>
      <c r="G34">
        <v>1</v>
      </c>
      <c r="J34">
        <f t="shared" ca="1" si="1"/>
        <v>40.299999999999997</v>
      </c>
      <c r="K34">
        <v>1</v>
      </c>
      <c r="M34" t="e">
        <f t="shared" ca="1" si="2"/>
        <v>#N/A</v>
      </c>
      <c r="N34">
        <v>1</v>
      </c>
    </row>
    <row r="35" spans="1:14">
      <c r="A35" t="str">
        <f ca="1">i_rank_i!CE39</f>
        <v>Nigeria</v>
      </c>
      <c r="B35">
        <f ca="1">i_rank_i!CC39</f>
        <v>2</v>
      </c>
      <c r="C35" s="60">
        <f ca="1">i_rank_i!CF39</f>
        <v>39.4</v>
      </c>
      <c r="D35">
        <v>1</v>
      </c>
      <c r="F35" t="e">
        <f t="shared" ca="1" si="0"/>
        <v>#N/A</v>
      </c>
      <c r="G35">
        <v>1</v>
      </c>
      <c r="J35">
        <f t="shared" ca="1" si="1"/>
        <v>39.4</v>
      </c>
      <c r="K35">
        <v>1</v>
      </c>
      <c r="M35" t="e">
        <f t="shared" ca="1" si="2"/>
        <v>#N/A</v>
      </c>
      <c r="N35">
        <v>1</v>
      </c>
    </row>
    <row r="36" spans="1:14">
      <c r="A36" t="str">
        <f ca="1">i_rank_i!CE40</f>
        <v>Rwanda</v>
      </c>
      <c r="B36">
        <f ca="1">i_rank_i!CC40</f>
        <v>2</v>
      </c>
      <c r="C36" s="60">
        <f ca="1">i_rank_i!CF40</f>
        <v>38.6</v>
      </c>
      <c r="D36">
        <v>1</v>
      </c>
      <c r="F36" t="e">
        <f t="shared" ca="1" si="0"/>
        <v>#N/A</v>
      </c>
      <c r="G36">
        <v>1</v>
      </c>
      <c r="J36">
        <f t="shared" ca="1" si="1"/>
        <v>38.6</v>
      </c>
      <c r="K36">
        <v>1</v>
      </c>
      <c r="M36" t="e">
        <f t="shared" ca="1" si="2"/>
        <v>#N/A</v>
      </c>
      <c r="N36">
        <v>1</v>
      </c>
    </row>
    <row r="37" spans="1:14">
      <c r="A37" t="str">
        <f ca="1">i_rank_i!CE41</f>
        <v>DRC</v>
      </c>
      <c r="B37">
        <f ca="1">i_rank_i!CC41</f>
        <v>2</v>
      </c>
      <c r="C37" s="60">
        <f ca="1">i_rank_i!CF41</f>
        <v>36.799999999999997</v>
      </c>
      <c r="D37">
        <v>1</v>
      </c>
      <c r="F37" t="e">
        <f t="shared" ca="1" si="0"/>
        <v>#N/A</v>
      </c>
      <c r="G37">
        <v>1</v>
      </c>
      <c r="J37">
        <f t="shared" ca="1" si="1"/>
        <v>36.799999999999997</v>
      </c>
      <c r="K37">
        <v>1</v>
      </c>
      <c r="M37" t="e">
        <f t="shared" ca="1" si="2"/>
        <v>#N/A</v>
      </c>
      <c r="N37">
        <v>1</v>
      </c>
    </row>
    <row r="38" spans="1:14">
      <c r="A38" t="str">
        <f ca="1">i_rank_i!CE42</f>
        <v>Indonesia</v>
      </c>
      <c r="B38">
        <f ca="1">i_rank_i!CC42</f>
        <v>2</v>
      </c>
      <c r="C38" s="60">
        <f ca="1">i_rank_i!CF42</f>
        <v>35.200000000000003</v>
      </c>
      <c r="D38">
        <v>1</v>
      </c>
      <c r="F38" t="e">
        <f t="shared" ca="1" si="0"/>
        <v>#N/A</v>
      </c>
      <c r="G38">
        <v>1</v>
      </c>
      <c r="J38">
        <f t="shared" ca="1" si="1"/>
        <v>35.200000000000003</v>
      </c>
      <c r="K38">
        <v>1</v>
      </c>
      <c r="M38" t="e">
        <f t="shared" ca="1" si="2"/>
        <v>#N/A</v>
      </c>
      <c r="N38">
        <v>1</v>
      </c>
    </row>
    <row r="39" spans="1:14">
      <c r="A39" t="str">
        <f ca="1">i_rank_i!CE43</f>
        <v>China</v>
      </c>
      <c r="B39">
        <f ca="1">i_rank_i!CC43</f>
        <v>2</v>
      </c>
      <c r="C39" s="60">
        <f ca="1">i_rank_i!CF43</f>
        <v>34.1</v>
      </c>
      <c r="D39">
        <v>1</v>
      </c>
      <c r="F39" t="e">
        <f t="shared" ca="1" si="0"/>
        <v>#N/A</v>
      </c>
      <c r="G39">
        <v>1</v>
      </c>
      <c r="J39">
        <f t="shared" ca="1" si="1"/>
        <v>34.1</v>
      </c>
      <c r="K39">
        <v>1</v>
      </c>
      <c r="M39" t="e">
        <f t="shared" ca="1" si="2"/>
        <v>#N/A</v>
      </c>
      <c r="N39">
        <v>1</v>
      </c>
    </row>
    <row r="40" spans="1:14">
      <c r="A40" t="str">
        <f ca="1">i_rank_i!CE44</f>
        <v>Haiti</v>
      </c>
      <c r="B40">
        <f ca="1">i_rank_i!CC44</f>
        <v>2</v>
      </c>
      <c r="C40" s="60">
        <f ca="1">i_rank_i!CF44</f>
        <v>33.4</v>
      </c>
      <c r="D40">
        <v>1</v>
      </c>
      <c r="F40" t="e">
        <f t="shared" ca="1" si="0"/>
        <v>#N/A</v>
      </c>
      <c r="G40">
        <v>1</v>
      </c>
      <c r="J40">
        <f t="shared" ca="1" si="1"/>
        <v>33.4</v>
      </c>
      <c r="K40">
        <v>1</v>
      </c>
      <c r="M40" t="e">
        <f t="shared" ca="1" si="2"/>
        <v>#N/A</v>
      </c>
      <c r="N40">
        <v>1</v>
      </c>
    </row>
    <row r="41" spans="1:14">
      <c r="A41" t="str">
        <f ca="1">i_rank_i!CE45</f>
        <v>Senegal</v>
      </c>
      <c r="B41">
        <f ca="1">i_rank_i!CC45</f>
        <v>2</v>
      </c>
      <c r="C41" s="60">
        <f ca="1">i_rank_i!CF45</f>
        <v>32.6</v>
      </c>
      <c r="D41">
        <v>1</v>
      </c>
      <c r="F41" t="e">
        <f t="shared" ca="1" si="0"/>
        <v>#N/A</v>
      </c>
      <c r="G41">
        <v>1</v>
      </c>
      <c r="J41">
        <f t="shared" ca="1" si="1"/>
        <v>32.6</v>
      </c>
      <c r="K41">
        <v>1</v>
      </c>
      <c r="M41" t="e">
        <f t="shared" ca="1" si="2"/>
        <v>#N/A</v>
      </c>
      <c r="N41">
        <v>1</v>
      </c>
    </row>
    <row r="42" spans="1:14">
      <c r="A42" t="str">
        <f ca="1">i_rank_i!CE46</f>
        <v>Madagascar</v>
      </c>
      <c r="B42">
        <f ca="1">i_rank_i!CC46</f>
        <v>2</v>
      </c>
      <c r="C42" s="60">
        <f ca="1">i_rank_i!CF46</f>
        <v>32.299999999999997</v>
      </c>
      <c r="D42">
        <v>1</v>
      </c>
      <c r="F42" t="e">
        <f t="shared" ca="1" si="0"/>
        <v>#N/A</v>
      </c>
      <c r="G42">
        <v>1</v>
      </c>
      <c r="J42">
        <f t="shared" ca="1" si="1"/>
        <v>32.299999999999997</v>
      </c>
      <c r="K42">
        <v>1</v>
      </c>
      <c r="M42" t="e">
        <f t="shared" ca="1" si="2"/>
        <v>#N/A</v>
      </c>
      <c r="N42">
        <v>1</v>
      </c>
    </row>
    <row r="43" spans="1:14">
      <c r="A43" t="str">
        <f ca="1">i_rank_i!CE47</f>
        <v>Cameroon</v>
      </c>
      <c r="B43">
        <f ca="1">i_rank_i!CC47</f>
        <v>2</v>
      </c>
      <c r="C43" s="60">
        <f ca="1">i_rank_i!CF47</f>
        <v>31.6</v>
      </c>
      <c r="D43">
        <v>1</v>
      </c>
      <c r="F43" t="e">
        <f t="shared" ca="1" si="0"/>
        <v>#N/A</v>
      </c>
      <c r="G43">
        <v>1</v>
      </c>
      <c r="J43">
        <f t="shared" ca="1" si="1"/>
        <v>31.6</v>
      </c>
      <c r="K43">
        <v>1</v>
      </c>
      <c r="M43" t="e">
        <f t="shared" ca="1" si="2"/>
        <v>#N/A</v>
      </c>
      <c r="N43">
        <v>1</v>
      </c>
    </row>
    <row r="44" spans="1:14">
      <c r="A44" t="str">
        <f ca="1">i_rank_i!CE48</f>
        <v>Ethiopia</v>
      </c>
      <c r="B44">
        <f ca="1">i_rank_i!CC48</f>
        <v>2</v>
      </c>
      <c r="C44" s="60">
        <f ca="1">i_rank_i!CF48</f>
        <v>31.3</v>
      </c>
      <c r="D44">
        <v>1</v>
      </c>
      <c r="F44" t="e">
        <f t="shared" ca="1" si="0"/>
        <v>#N/A</v>
      </c>
      <c r="G44">
        <v>1</v>
      </c>
      <c r="J44">
        <f t="shared" ca="1" si="1"/>
        <v>31.3</v>
      </c>
      <c r="K44">
        <v>1</v>
      </c>
      <c r="M44" t="e">
        <f t="shared" ca="1" si="2"/>
        <v>#N/A</v>
      </c>
      <c r="N44">
        <v>1</v>
      </c>
    </row>
    <row r="45" spans="1:14">
      <c r="A45" t="str">
        <f ca="1">i_rank_i!CE49</f>
        <v>Argentina</v>
      </c>
      <c r="B45">
        <f ca="1">i_rank_i!CC49</f>
        <v>2</v>
      </c>
      <c r="C45" s="60">
        <f ca="1">i_rank_i!CF49</f>
        <v>30.8</v>
      </c>
      <c r="D45">
        <v>1</v>
      </c>
      <c r="F45" t="e">
        <f t="shared" ca="1" si="0"/>
        <v>#N/A</v>
      </c>
      <c r="G45">
        <v>1</v>
      </c>
      <c r="J45">
        <f t="shared" ca="1" si="1"/>
        <v>30.8</v>
      </c>
      <c r="K45">
        <v>1</v>
      </c>
      <c r="M45" t="e">
        <f t="shared" ca="1" si="2"/>
        <v>#N/A</v>
      </c>
      <c r="N45">
        <v>1</v>
      </c>
    </row>
    <row r="46" spans="1:14">
      <c r="A46" t="str">
        <f ca="1">i_rank_i!CE50</f>
        <v>Morocco</v>
      </c>
      <c r="B46">
        <f ca="1">i_rank_i!CC50</f>
        <v>2</v>
      </c>
      <c r="C46" s="60">
        <f ca="1">i_rank_i!CF50</f>
        <v>30.3</v>
      </c>
      <c r="D46">
        <v>1</v>
      </c>
      <c r="F46" t="e">
        <f t="shared" ca="1" si="0"/>
        <v>#N/A</v>
      </c>
      <c r="G46">
        <v>1</v>
      </c>
      <c r="J46">
        <f t="shared" ca="1" si="1"/>
        <v>30.3</v>
      </c>
      <c r="K46">
        <v>1</v>
      </c>
      <c r="M46" t="e">
        <f t="shared" ca="1" si="2"/>
        <v>#N/A</v>
      </c>
      <c r="N46">
        <v>1</v>
      </c>
    </row>
    <row r="47" spans="1:14">
      <c r="A47" t="str">
        <f ca="1">i_rank_i!CE51</f>
        <v>Turkey</v>
      </c>
      <c r="B47">
        <f ca="1">i_rank_i!CC51</f>
        <v>2</v>
      </c>
      <c r="C47" s="60">
        <f ca="1">i_rank_i!CF51</f>
        <v>30.3</v>
      </c>
      <c r="D47">
        <v>1</v>
      </c>
      <c r="F47" t="e">
        <f t="shared" ca="1" si="0"/>
        <v>#N/A</v>
      </c>
      <c r="G47">
        <v>1</v>
      </c>
      <c r="J47">
        <f t="shared" ca="1" si="1"/>
        <v>30.3</v>
      </c>
      <c r="K47">
        <v>1</v>
      </c>
      <c r="M47" t="e">
        <f t="shared" ca="1" si="2"/>
        <v>#N/A</v>
      </c>
      <c r="N47">
        <v>1</v>
      </c>
    </row>
    <row r="48" spans="1:14">
      <c r="A48" t="str">
        <f ca="1">i_rank_i!CE52</f>
        <v>Mongolia</v>
      </c>
      <c r="B48">
        <f ca="1">i_rank_i!CC52</f>
        <v>2</v>
      </c>
      <c r="C48" s="60">
        <f ca="1">i_rank_i!CF52</f>
        <v>30</v>
      </c>
      <c r="D48">
        <v>1</v>
      </c>
      <c r="F48" t="e">
        <f t="shared" ca="1" si="0"/>
        <v>#N/A</v>
      </c>
      <c r="G48">
        <v>1</v>
      </c>
      <c r="J48">
        <f t="shared" ca="1" si="1"/>
        <v>30</v>
      </c>
      <c r="K48">
        <v>1</v>
      </c>
      <c r="M48" t="e">
        <f t="shared" ca="1" si="2"/>
        <v>#N/A</v>
      </c>
      <c r="N48">
        <v>1</v>
      </c>
    </row>
    <row r="49" spans="1:14">
      <c r="A49" t="str">
        <f ca="1">i_rank_i!CE53</f>
        <v>Nepal</v>
      </c>
      <c r="B49">
        <f ca="1">i_rank_i!CC53</f>
        <v>2</v>
      </c>
      <c r="C49" s="60">
        <f ca="1">i_rank_i!CF53</f>
        <v>30</v>
      </c>
      <c r="D49">
        <v>1</v>
      </c>
      <c r="F49" t="e">
        <f t="shared" ca="1" si="0"/>
        <v>#N/A</v>
      </c>
      <c r="G49">
        <v>1</v>
      </c>
      <c r="J49">
        <f t="shared" ca="1" si="1"/>
        <v>30</v>
      </c>
      <c r="K49">
        <v>1</v>
      </c>
      <c r="M49" t="e">
        <f t="shared" ca="1" si="2"/>
        <v>#N/A</v>
      </c>
      <c r="N49">
        <v>1</v>
      </c>
    </row>
    <row r="50" spans="1:14">
      <c r="A50" t="str">
        <f ca="1">i_rank_i!CE54</f>
        <v>Lebanon</v>
      </c>
      <c r="B50">
        <f ca="1">i_rank_i!CC54</f>
        <v>2</v>
      </c>
      <c r="C50" s="60">
        <f ca="1">i_rank_i!CF54</f>
        <v>29.3</v>
      </c>
      <c r="D50">
        <v>1</v>
      </c>
      <c r="F50" t="e">
        <f t="shared" ca="1" si="0"/>
        <v>#N/A</v>
      </c>
      <c r="G50">
        <v>1</v>
      </c>
      <c r="J50">
        <f t="shared" ca="1" si="1"/>
        <v>29.3</v>
      </c>
      <c r="K50">
        <v>1</v>
      </c>
      <c r="M50" t="e">
        <f t="shared" ca="1" si="2"/>
        <v>#N/A</v>
      </c>
      <c r="N50">
        <v>1</v>
      </c>
    </row>
    <row r="51" spans="1:14">
      <c r="A51" t="str">
        <f ca="1">i_rank_i!CE55</f>
        <v>Azerbaijan</v>
      </c>
      <c r="B51">
        <f ca="1">i_rank_i!CC55</f>
        <v>2</v>
      </c>
      <c r="C51" s="60">
        <f ca="1">i_rank_i!CF55</f>
        <v>29</v>
      </c>
      <c r="D51">
        <v>1</v>
      </c>
      <c r="F51" t="e">
        <f t="shared" ca="1" si="0"/>
        <v>#N/A</v>
      </c>
      <c r="G51">
        <v>1</v>
      </c>
      <c r="J51">
        <f t="shared" ca="1" si="1"/>
        <v>29</v>
      </c>
      <c r="K51">
        <v>1</v>
      </c>
      <c r="M51" t="e">
        <f t="shared" ca="1" si="2"/>
        <v>#N/A</v>
      </c>
      <c r="N51">
        <v>1</v>
      </c>
    </row>
    <row r="52" spans="1:14">
      <c r="A52" t="str">
        <f ca="1">i_rank_i!CE56</f>
        <v>Uruguay</v>
      </c>
      <c r="B52">
        <f ca="1">i_rank_i!CC56</f>
        <v>2</v>
      </c>
      <c r="C52" s="60">
        <f ca="1">i_rank_i!CF56</f>
        <v>28.4</v>
      </c>
      <c r="D52">
        <v>1</v>
      </c>
      <c r="F52" t="e">
        <f t="shared" ca="1" si="0"/>
        <v>#N/A</v>
      </c>
      <c r="G52">
        <v>1</v>
      </c>
      <c r="J52">
        <f t="shared" ca="1" si="1"/>
        <v>28.4</v>
      </c>
      <c r="K52">
        <v>1</v>
      </c>
      <c r="M52" t="e">
        <f t="shared" ca="1" si="2"/>
        <v>#N/A</v>
      </c>
      <c r="N52">
        <v>1</v>
      </c>
    </row>
    <row r="53" spans="1:14">
      <c r="A53" t="str">
        <f ca="1">i_rank_i!CE57</f>
        <v>Venezuela</v>
      </c>
      <c r="B53">
        <f ca="1">i_rank_i!CC57</f>
        <v>2</v>
      </c>
      <c r="C53" s="60">
        <f ca="1">i_rank_i!CF57</f>
        <v>24.1</v>
      </c>
      <c r="D53">
        <v>1</v>
      </c>
      <c r="F53" t="e">
        <f t="shared" ca="1" si="0"/>
        <v>#N/A</v>
      </c>
      <c r="G53">
        <v>1</v>
      </c>
      <c r="J53">
        <f t="shared" ca="1" si="1"/>
        <v>24.1</v>
      </c>
      <c r="K53">
        <v>1</v>
      </c>
      <c r="M53" t="e">
        <f t="shared" ca="1" si="2"/>
        <v>#N/A</v>
      </c>
      <c r="N53">
        <v>1</v>
      </c>
    </row>
    <row r="54" spans="1:14">
      <c r="A54" t="str">
        <f ca="1">i_rank_i!CE58</f>
        <v>Jamaica</v>
      </c>
      <c r="B54">
        <f ca="1">i_rank_i!CC58</f>
        <v>2</v>
      </c>
      <c r="C54" s="60">
        <f ca="1">i_rank_i!CF58</f>
        <v>23.7</v>
      </c>
      <c r="D54">
        <v>1</v>
      </c>
      <c r="F54" t="e">
        <f t="shared" ca="1" si="0"/>
        <v>#N/A</v>
      </c>
      <c r="G54">
        <v>1</v>
      </c>
      <c r="J54">
        <f t="shared" ca="1" si="1"/>
        <v>23.7</v>
      </c>
      <c r="K54">
        <v>1</v>
      </c>
      <c r="M54" t="e">
        <f t="shared" ca="1" si="2"/>
        <v>#N/A</v>
      </c>
      <c r="N54">
        <v>1</v>
      </c>
    </row>
    <row r="55" spans="1:14">
      <c r="A55" t="str">
        <f ca="1">i_rank_i!CE59</f>
        <v>Trinidad and Tobago</v>
      </c>
      <c r="B55">
        <f ca="1">i_rank_i!CC59</f>
        <v>2</v>
      </c>
      <c r="C55" s="60">
        <f ca="1">i_rank_i!CF59</f>
        <v>22.9</v>
      </c>
      <c r="D55">
        <v>1</v>
      </c>
      <c r="F55" t="e">
        <f t="shared" ca="1" si="0"/>
        <v>#N/A</v>
      </c>
      <c r="G55">
        <v>1</v>
      </c>
      <c r="J55">
        <f t="shared" ca="1" si="1"/>
        <v>22.9</v>
      </c>
      <c r="K55">
        <v>1</v>
      </c>
      <c r="M55" t="e">
        <f t="shared" ca="1" si="2"/>
        <v>#N/A</v>
      </c>
      <c r="N55">
        <v>1</v>
      </c>
    </row>
    <row r="56" spans="1:14">
      <c r="A56" t="str">
        <f ca="1">i_rank_i!CE60</f>
        <v>Vietnam</v>
      </c>
      <c r="B56">
        <f ca="1">i_rank_i!CC60</f>
        <v>2</v>
      </c>
      <c r="C56" s="60">
        <f ca="1">i_rank_i!CF60</f>
        <v>21.6</v>
      </c>
      <c r="D56">
        <v>1</v>
      </c>
      <c r="F56" t="e">
        <f t="shared" ca="1" si="0"/>
        <v>#N/A</v>
      </c>
      <c r="G56">
        <v>1</v>
      </c>
      <c r="J56">
        <f t="shared" ca="1" si="1"/>
        <v>21.6</v>
      </c>
      <c r="K56">
        <v>1</v>
      </c>
      <c r="M56" t="e">
        <f t="shared" ca="1" si="2"/>
        <v>#N/A</v>
      </c>
      <c r="N56">
        <v>1</v>
      </c>
    </row>
    <row r="57" spans="1:14">
      <c r="A57" t="str">
        <f ca="1">i_rank_i!CE61</f>
        <v>Thailand</v>
      </c>
      <c r="B57">
        <f ca="1">i_rank_i!CC61</f>
        <v>2</v>
      </c>
      <c r="C57" s="60">
        <f ca="1">i_rank_i!CF61</f>
        <v>21.2</v>
      </c>
      <c r="D57">
        <v>1</v>
      </c>
      <c r="F57" t="e">
        <f t="shared" ca="1" si="0"/>
        <v>#N/A</v>
      </c>
      <c r="G57">
        <v>1</v>
      </c>
      <c r="J57">
        <f t="shared" ca="1" si="1"/>
        <v>21.2</v>
      </c>
      <c r="K57">
        <v>1</v>
      </c>
      <c r="M57" t="e">
        <f t="shared" ca="1" si="2"/>
        <v>#N/A</v>
      </c>
      <c r="N57">
        <v>1</v>
      </c>
    </row>
  </sheetData>
  <phoneticPr fontId="6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5"/>
  <dimension ref="A1:J21"/>
  <sheetViews>
    <sheetView workbookViewId="0">
      <selection activeCell="B3" sqref="B3:B10"/>
    </sheetView>
  </sheetViews>
  <sheetFormatPr defaultRowHeight="12.75"/>
  <sheetData>
    <row r="1" spans="1:10">
      <c r="A1" s="4" t="s">
        <v>864</v>
      </c>
      <c r="B1" s="4" t="s">
        <v>865</v>
      </c>
      <c r="F1" s="4" t="s">
        <v>866</v>
      </c>
      <c r="G1" s="4" t="s">
        <v>867</v>
      </c>
      <c r="I1" s="4" t="s">
        <v>872</v>
      </c>
      <c r="J1" s="4" t="s">
        <v>873</v>
      </c>
    </row>
    <row r="2" spans="1:10">
      <c r="A2">
        <v>1</v>
      </c>
      <c r="B2" t="s">
        <v>850</v>
      </c>
      <c r="F2">
        <v>0</v>
      </c>
      <c r="G2" s="4" t="s">
        <v>868</v>
      </c>
      <c r="I2">
        <v>1</v>
      </c>
      <c r="J2" s="4" t="s">
        <v>880</v>
      </c>
    </row>
    <row r="3" spans="1:10">
      <c r="A3">
        <v>2</v>
      </c>
      <c r="B3" s="4" t="s">
        <v>852</v>
      </c>
      <c r="F3">
        <v>1</v>
      </c>
      <c r="G3" s="4" t="s">
        <v>869</v>
      </c>
      <c r="I3">
        <v>2</v>
      </c>
      <c r="J3" s="4" t="s">
        <v>875</v>
      </c>
    </row>
    <row r="4" spans="1:10">
      <c r="A4">
        <v>3</v>
      </c>
      <c r="B4" t="s">
        <v>721</v>
      </c>
      <c r="F4">
        <v>2</v>
      </c>
      <c r="G4" s="4" t="s">
        <v>870</v>
      </c>
      <c r="I4">
        <v>3</v>
      </c>
      <c r="J4" s="4" t="s">
        <v>874</v>
      </c>
    </row>
    <row r="5" spans="1:10">
      <c r="A5">
        <v>4</v>
      </c>
      <c r="B5" t="s">
        <v>1088</v>
      </c>
      <c r="F5">
        <v>3</v>
      </c>
      <c r="G5" s="4" t="s">
        <v>871</v>
      </c>
    </row>
    <row r="6" spans="1:10">
      <c r="A6">
        <v>5</v>
      </c>
      <c r="B6" s="4" t="s">
        <v>718</v>
      </c>
    </row>
    <row r="7" spans="1:10">
      <c r="A7">
        <v>6</v>
      </c>
      <c r="B7" s="4" t="s">
        <v>719</v>
      </c>
    </row>
    <row r="8" spans="1:10">
      <c r="A8">
        <v>7</v>
      </c>
      <c r="B8" t="s">
        <v>1087</v>
      </c>
    </row>
    <row r="9" spans="1:10">
      <c r="A9">
        <v>8</v>
      </c>
      <c r="B9" t="s">
        <v>851</v>
      </c>
    </row>
    <row r="10" spans="1:10">
      <c r="A10">
        <v>9</v>
      </c>
      <c r="B10" t="s">
        <v>720</v>
      </c>
    </row>
    <row r="11" spans="1:10">
      <c r="A11">
        <v>10</v>
      </c>
    </row>
    <row r="12" spans="1:10">
      <c r="A12">
        <v>11</v>
      </c>
    </row>
    <row r="13" spans="1:10">
      <c r="A13">
        <v>12</v>
      </c>
    </row>
    <row r="14" spans="1:10">
      <c r="A14">
        <v>13</v>
      </c>
    </row>
    <row r="17" spans="6:6">
      <c r="F17" s="4"/>
    </row>
    <row r="18" spans="6:6">
      <c r="F18" s="4"/>
    </row>
    <row r="21" spans="6:6">
      <c r="F21" s="4"/>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13</vt:i4>
      </vt:variant>
    </vt:vector>
  </HeadingPairs>
  <TitlesOfParts>
    <vt:vector size="41" baseType="lpstr">
      <vt:lpstr>tblIndicators</vt:lpstr>
      <vt:lpstr>scores_2009</vt:lpstr>
      <vt:lpstr>uxb_settings</vt:lpstr>
      <vt:lpstr>i_country</vt:lpstr>
      <vt:lpstr>SectionRanked </vt:lpstr>
      <vt:lpstr>scores_2007</vt:lpstr>
      <vt:lpstr>scores_2008</vt:lpstr>
      <vt:lpstr>i_Dist</vt:lpstr>
      <vt:lpstr>tblRegions</vt:lpstr>
      <vt:lpstr>Cover</vt:lpstr>
      <vt:lpstr>Executive_summary</vt:lpstr>
      <vt:lpstr>i_rank_2</vt:lpstr>
      <vt:lpstr>SectionsRanked</vt:lpstr>
      <vt:lpstr>Indicators_grouped</vt:lpstr>
      <vt:lpstr>Ranked</vt:lpstr>
      <vt:lpstr>i_quali</vt:lpstr>
      <vt:lpstr>tblIndByType</vt:lpstr>
      <vt:lpstr>uxb_weights</vt:lpstr>
      <vt:lpstr>Country_Profile</vt:lpstr>
      <vt:lpstr>tblCountries</vt:lpstr>
      <vt:lpstr>i_rank_i</vt:lpstr>
      <vt:lpstr>i_scatter</vt:lpstr>
      <vt:lpstr>CountryIndicators</vt:lpstr>
      <vt:lpstr>Country_History</vt:lpstr>
      <vt:lpstr>Country_YoY</vt:lpstr>
      <vt:lpstr>Country_Comparison</vt:lpstr>
      <vt:lpstr>Scatter</vt:lpstr>
      <vt:lpstr>Weights</vt:lpstr>
      <vt:lpstr>country_indidata</vt:lpstr>
      <vt:lpstr>indi_data</vt:lpstr>
      <vt:lpstr>indi_data2007</vt:lpstr>
      <vt:lpstr>indi_data2008</vt:lpstr>
      <vt:lpstr>lu_countries</vt:lpstr>
      <vt:lpstr>lu_countries_and_regions</vt:lpstr>
      <vt:lpstr>lu_CountryStatus</vt:lpstr>
      <vt:lpstr>lu_RegionHighlight</vt:lpstr>
      <vt:lpstr>lu_regions</vt:lpstr>
      <vt:lpstr>norm_data</vt:lpstr>
      <vt:lpstr>norm_data2007</vt:lpstr>
      <vt:lpstr>norm_data2008</vt:lpstr>
      <vt:lpstr>text_data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anarod</cp:lastModifiedBy>
  <dcterms:created xsi:type="dcterms:W3CDTF">2009-08-06T15:14:34Z</dcterms:created>
  <dcterms:modified xsi:type="dcterms:W3CDTF">2010-07-10T04:34:12Z</dcterms:modified>
</cp:coreProperties>
</file>